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valuanalytics.sharepoint.com/sites/ValuAnalyticsClients/Shared Documents/Industry Analytics/1 Other Articles/"/>
    </mc:Choice>
  </mc:AlternateContent>
  <xr:revisionPtr revIDLastSave="1359" documentId="8_{921695F1-BE8E-469A-B03B-8BC507AC912F}" xr6:coauthVersionLast="47" xr6:coauthVersionMax="47" xr10:uidLastSave="{DA92AB50-EE3D-4AD7-B9EC-87F5FD07423C}"/>
  <bookViews>
    <workbookView xWindow="-28920" yWindow="-120" windowWidth="29040" windowHeight="15840" xr2:uid="{5D3D98C0-2ACB-4E6E-8428-FB51129D78ED}"/>
  </bookViews>
  <sheets>
    <sheet name="Assumptions" sheetId="7" r:id="rId1"/>
    <sheet name="Income Statement" sheetId="6" r:id="rId2"/>
    <sheet name="Revenue Models" sheetId="8" r:id="rId3"/>
    <sheet name="Rev. Simplistic" sheetId="1" r:id="rId4"/>
    <sheet name="Rev. Volume x Price" sheetId="2" r:id="rId5"/>
    <sheet name="Rev. Retail" sheetId="3" r:id="rId6"/>
    <sheet name="Rev. Subscription Model" sheetId="4" r:id="rId7"/>
    <sheet name="Cost of Rev. Models" sheetId="9" r:id="rId8"/>
    <sheet name="Cost of Rev. Simplistic" sheetId="10" r:id="rId9"/>
    <sheet name="Cost of Rev Vol. x Price" sheetId="11" r:id="rId10"/>
    <sheet name="Operating Expenses" sheetId="16" r:id="rId11"/>
    <sheet name="Opex Simplistic Growth" sheetId="14" r:id="rId12"/>
    <sheet name="Opex Simplistic % of Revenue" sheetId="17" r:id="rId13"/>
    <sheet name="Opex Fixed vs. Variable" sheetId="30" r:id="rId14"/>
    <sheet name="Other Items" sheetId="18" r:id="rId15"/>
    <sheet name="Interest Expense" sheetId="15" r:id="rId16"/>
    <sheet name="Depreciation" sheetId="29" r:id="rId17"/>
    <sheet name="Income Tax Rate" sheetId="19" r:id="rId18"/>
    <sheet name="Balance Sheet Items" sheetId="27" r:id="rId19"/>
    <sheet name="Capital Expenditures" sheetId="5" r:id="rId20"/>
    <sheet name="Working Capital (Simplified)" sheetId="28" r:id="rId21"/>
    <sheet name="Working Capital (Driver Based)" sheetId="20" r:id="rId22"/>
    <sheet name="Cash" sheetId="21" r:id="rId23"/>
    <sheet name="Accounts Receivable" sheetId="22" r:id="rId24"/>
    <sheet name="Inventory" sheetId="23" r:id="rId25"/>
    <sheet name="Other Current Assets" sheetId="24" r:id="rId26"/>
    <sheet name="Accounts Payable" sheetId="25" r:id="rId27"/>
    <sheet name="Other Current Liabilities" sheetId="26" r:id="rId28"/>
    <sheet name="Debt" sheetId="12" r:id="rId29"/>
  </sheets>
  <externalReferences>
    <externalReference r:id="rId30"/>
  </externalReferences>
  <definedNames>
    <definedName name="CIQWBGuid" hidden="1">"Cost of Revenue Example Model.xlsx"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44257.7548842593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FY">Assumptions!$B$4</definedName>
    <definedName name="LTG">[1]Inputs!$C$47</definedName>
    <definedName name="LTM">Assumptions!$B$5</definedName>
    <definedName name="NFY">Assumptions!$B$6</definedName>
    <definedName name="_xlnm.Print_Area" localSheetId="9">'Cost of Rev Vol. x Price'!$A$1:$R$11</definedName>
    <definedName name="_xlnm.Print_Area" localSheetId="8">'Cost of Rev. Simplistic'!$A$1:$S$35</definedName>
    <definedName name="_xlnm.Print_Area" localSheetId="28">Debt!$A$1:$R$37</definedName>
    <definedName name="_xlnm.Print_Area" localSheetId="17">'Income Tax Rate'!$A$1:$R$4</definedName>
    <definedName name="_xlnm.Print_Area" localSheetId="15">'Interest Expense'!$A$1:$R$13</definedName>
    <definedName name="_xlnm.Print_Area" localSheetId="13">'Opex Fixed vs. Variable'!$A$1:$AQ$35</definedName>
    <definedName name="_xlnm.Print_Area" localSheetId="12">'Opex Simplistic % of Revenue'!$A$1:$AF$35</definedName>
    <definedName name="_xlnm.Print_Area" localSheetId="11">'Opex Simplistic Growth'!$A$1:$AF$35</definedName>
    <definedName name="_xlnm.Print_Area" localSheetId="5">'Rev. Retail'!$A$1:$AE$29</definedName>
    <definedName name="_xlnm.Print_Area" localSheetId="3">'Rev. Simplistic'!$A$1:$R$29</definedName>
    <definedName name="_xlnm.Print_Area" localSheetId="6">'Rev. Subscription Model'!$A$1:$AF$33</definedName>
    <definedName name="_xlnm.Print_Area" localSheetId="4">'Rev. Volume x Price'!$A$1:$R$29</definedName>
    <definedName name="tax">[1]Inputs!$C$44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2" l="1"/>
  <c r="L7" i="12" s="1"/>
  <c r="K7" i="12" s="1"/>
  <c r="J7" i="12" s="1"/>
  <c r="I7" i="12" s="1"/>
  <c r="N7" i="12"/>
  <c r="O7" i="12"/>
  <c r="P7" i="12"/>
  <c r="Q7" i="12"/>
  <c r="R7" i="12"/>
  <c r="M8" i="12"/>
  <c r="L8" i="12" s="1"/>
  <c r="K8" i="12" s="1"/>
  <c r="J8" i="12"/>
  <c r="I8" i="12" s="1"/>
  <c r="N8" i="12"/>
  <c r="O8" i="12" s="1"/>
  <c r="N14" i="12"/>
  <c r="N17" i="12"/>
  <c r="M6" i="26"/>
  <c r="L6" i="26" s="1"/>
  <c r="K6" i="26" s="1"/>
  <c r="J6" i="26" s="1"/>
  <c r="I6" i="26" s="1"/>
  <c r="N6" i="26"/>
  <c r="O6" i="26"/>
  <c r="P6" i="26"/>
  <c r="Q6" i="26"/>
  <c r="R6" i="26"/>
  <c r="M7" i="26"/>
  <c r="L7" i="26" s="1"/>
  <c r="K7" i="26" s="1"/>
  <c r="J7" i="26" s="1"/>
  <c r="I7" i="26" s="1"/>
  <c r="N7" i="26"/>
  <c r="O7" i="26" s="1"/>
  <c r="P7" i="26" s="1"/>
  <c r="Q7" i="26" s="1"/>
  <c r="R7" i="26" s="1"/>
  <c r="J21" i="26"/>
  <c r="O26" i="26"/>
  <c r="P26" i="26"/>
  <c r="Q26" i="26" s="1"/>
  <c r="R26" i="26" s="1"/>
  <c r="M6" i="25"/>
  <c r="L6" i="25" s="1"/>
  <c r="K6" i="25"/>
  <c r="J6" i="25" s="1"/>
  <c r="I6" i="25" s="1"/>
  <c r="N6" i="25"/>
  <c r="O6" i="25"/>
  <c r="P6" i="25"/>
  <c r="Q6" i="25"/>
  <c r="R6" i="25"/>
  <c r="M7" i="25"/>
  <c r="L7" i="25"/>
  <c r="K7" i="25" s="1"/>
  <c r="J7" i="25" s="1"/>
  <c r="I7" i="25" s="1"/>
  <c r="N7" i="25"/>
  <c r="O7" i="25"/>
  <c r="P7" i="25" s="1"/>
  <c r="Q7" i="25" s="1"/>
  <c r="R7" i="25" s="1"/>
  <c r="I19" i="25"/>
  <c r="J19" i="25"/>
  <c r="K19" i="25"/>
  <c r="L19" i="25"/>
  <c r="M19" i="25"/>
  <c r="O26" i="25"/>
  <c r="P26" i="25" s="1"/>
  <c r="Q26" i="25" s="1"/>
  <c r="R26" i="25" s="1"/>
  <c r="M6" i="24"/>
  <c r="L6" i="24" s="1"/>
  <c r="K6" i="24" s="1"/>
  <c r="J6" i="24" s="1"/>
  <c r="I6" i="24" s="1"/>
  <c r="N6" i="24"/>
  <c r="O6" i="24"/>
  <c r="P6" i="24"/>
  <c r="Q6" i="24"/>
  <c r="R6" i="24"/>
  <c r="M7" i="24"/>
  <c r="L7" i="24" s="1"/>
  <c r="K7" i="24" s="1"/>
  <c r="J7" i="24" s="1"/>
  <c r="I7" i="24" s="1"/>
  <c r="N7" i="24"/>
  <c r="O7" i="24" s="1"/>
  <c r="P7" i="24" s="1"/>
  <c r="Q7" i="24"/>
  <c r="R7" i="24" s="1"/>
  <c r="I21" i="24"/>
  <c r="J21" i="24"/>
  <c r="K21" i="24"/>
  <c r="L21" i="24"/>
  <c r="M21" i="24"/>
  <c r="O26" i="24"/>
  <c r="P26" i="24" s="1"/>
  <c r="Q26" i="24" s="1"/>
  <c r="R26" i="24" s="1"/>
  <c r="M6" i="23"/>
  <c r="L6" i="23"/>
  <c r="K6" i="23" s="1"/>
  <c r="J6" i="23" s="1"/>
  <c r="I6" i="23" s="1"/>
  <c r="N6" i="23"/>
  <c r="O6" i="23"/>
  <c r="P6" i="23"/>
  <c r="Q6" i="23"/>
  <c r="R6" i="23"/>
  <c r="M7" i="23"/>
  <c r="L7" i="23"/>
  <c r="K7" i="23"/>
  <c r="J7" i="23" s="1"/>
  <c r="I7" i="23" s="1"/>
  <c r="N7" i="23"/>
  <c r="O7" i="23" s="1"/>
  <c r="P7" i="23" s="1"/>
  <c r="Q7" i="23" s="1"/>
  <c r="R7" i="23" s="1"/>
  <c r="I19" i="23"/>
  <c r="J19" i="23"/>
  <c r="K19" i="23"/>
  <c r="L19" i="23"/>
  <c r="M19" i="23"/>
  <c r="O26" i="23"/>
  <c r="P26" i="23" s="1"/>
  <c r="Q26" i="23" s="1"/>
  <c r="R26" i="23" s="1"/>
  <c r="M6" i="22"/>
  <c r="L6" i="22" s="1"/>
  <c r="K6" i="22" s="1"/>
  <c r="J6" i="22"/>
  <c r="I6" i="22" s="1"/>
  <c r="N6" i="22"/>
  <c r="O6" i="22"/>
  <c r="P6" i="22"/>
  <c r="Q6" i="22"/>
  <c r="R6" i="22"/>
  <c r="M7" i="22"/>
  <c r="L7" i="22"/>
  <c r="K7" i="22" s="1"/>
  <c r="J7" i="22"/>
  <c r="I7" i="22" s="1"/>
  <c r="N7" i="22"/>
  <c r="O7" i="22"/>
  <c r="P7" i="22" s="1"/>
  <c r="Q7" i="22" s="1"/>
  <c r="R7" i="22"/>
  <c r="I19" i="22"/>
  <c r="J19" i="22"/>
  <c r="K19" i="22"/>
  <c r="L19" i="22"/>
  <c r="M19" i="22"/>
  <c r="O26" i="22"/>
  <c r="P26" i="22" s="1"/>
  <c r="Q26" i="22" s="1"/>
  <c r="R26" i="22" s="1"/>
  <c r="M6" i="21"/>
  <c r="L6" i="21" s="1"/>
  <c r="K6" i="21" s="1"/>
  <c r="J6" i="21" s="1"/>
  <c r="I6" i="21" s="1"/>
  <c r="N6" i="21"/>
  <c r="O6" i="21"/>
  <c r="P6" i="21"/>
  <c r="Q6" i="21"/>
  <c r="R6" i="21"/>
  <c r="M7" i="21"/>
  <c r="L7" i="21" s="1"/>
  <c r="K7" i="21" s="1"/>
  <c r="J7" i="21"/>
  <c r="I7" i="21" s="1"/>
  <c r="N7" i="21"/>
  <c r="O7" i="21"/>
  <c r="P7" i="21"/>
  <c r="Q7" i="21" s="1"/>
  <c r="R7" i="21" s="1"/>
  <c r="I16" i="21"/>
  <c r="J16" i="21"/>
  <c r="K16" i="21"/>
  <c r="L16" i="21"/>
  <c r="M16" i="21"/>
  <c r="B19" i="21"/>
  <c r="B20" i="21"/>
  <c r="O26" i="21"/>
  <c r="P26" i="21"/>
  <c r="Q26" i="21" s="1"/>
  <c r="R26" i="21" s="1"/>
  <c r="M6" i="20"/>
  <c r="L6" i="20"/>
  <c r="K6" i="20" s="1"/>
  <c r="J6" i="20"/>
  <c r="I6" i="20"/>
  <c r="N6" i="20"/>
  <c r="O6" i="20"/>
  <c r="P6" i="20"/>
  <c r="Q6" i="20"/>
  <c r="R6" i="20"/>
  <c r="M7" i="20"/>
  <c r="L7" i="20"/>
  <c r="K7" i="20"/>
  <c r="J7" i="20"/>
  <c r="I7" i="20" s="1"/>
  <c r="N7" i="20"/>
  <c r="O7" i="20"/>
  <c r="P7" i="20"/>
  <c r="Q7" i="20" s="1"/>
  <c r="R7" i="20" s="1"/>
  <c r="B9" i="20"/>
  <c r="M9" i="20"/>
  <c r="I15" i="20"/>
  <c r="J15" i="20"/>
  <c r="J22" i="20" s="1"/>
  <c r="K15" i="20"/>
  <c r="L15" i="20"/>
  <c r="L22" i="20" s="1"/>
  <c r="M15" i="20"/>
  <c r="I20" i="20"/>
  <c r="J20" i="20"/>
  <c r="K20" i="20"/>
  <c r="L20" i="20"/>
  <c r="M20" i="20"/>
  <c r="I22" i="20"/>
  <c r="I25" i="20" s="1"/>
  <c r="K22" i="20"/>
  <c r="M22" i="20"/>
  <c r="J25" i="20"/>
  <c r="J28" i="20" s="1"/>
  <c r="M6" i="28"/>
  <c r="L6" i="28"/>
  <c r="K6" i="28" s="1"/>
  <c r="J6" i="28" s="1"/>
  <c r="I6" i="28" s="1"/>
  <c r="N6" i="28"/>
  <c r="O6" i="28"/>
  <c r="P6" i="28"/>
  <c r="Q6" i="28"/>
  <c r="R6" i="28"/>
  <c r="M7" i="28"/>
  <c r="L7" i="28" s="1"/>
  <c r="K7" i="28" s="1"/>
  <c r="J7" i="28" s="1"/>
  <c r="I7" i="28" s="1"/>
  <c r="N7" i="28"/>
  <c r="O7" i="28"/>
  <c r="P7" i="28" s="1"/>
  <c r="Q7" i="28" s="1"/>
  <c r="R7" i="28" s="1"/>
  <c r="B9" i="28"/>
  <c r="I15" i="28"/>
  <c r="J15" i="28"/>
  <c r="K15" i="28"/>
  <c r="L15" i="28"/>
  <c r="L22" i="28" s="1"/>
  <c r="L25" i="28" s="1"/>
  <c r="L28" i="28" s="1"/>
  <c r="M15" i="28"/>
  <c r="M22" i="28" s="1"/>
  <c r="I20" i="28"/>
  <c r="J20" i="28"/>
  <c r="K20" i="28"/>
  <c r="L20" i="28"/>
  <c r="M20" i="28"/>
  <c r="I22" i="28"/>
  <c r="J22" i="28"/>
  <c r="J25" i="28" s="1"/>
  <c r="K22" i="28"/>
  <c r="O23" i="28"/>
  <c r="P23" i="28"/>
  <c r="Q23" i="28"/>
  <c r="R23" i="28"/>
  <c r="O26" i="28"/>
  <c r="O29" i="28"/>
  <c r="P29" i="28" s="1"/>
  <c r="Q29" i="28" s="1"/>
  <c r="R29" i="28"/>
  <c r="I14" i="5"/>
  <c r="J14" i="5"/>
  <c r="K14" i="5"/>
  <c r="L14" i="5"/>
  <c r="C18" i="5"/>
  <c r="D18" i="5"/>
  <c r="E18" i="5"/>
  <c r="E19" i="5" s="1"/>
  <c r="F18" i="5"/>
  <c r="G18" i="5"/>
  <c r="H18" i="5"/>
  <c r="I18" i="5" s="1"/>
  <c r="J18" i="5" s="1"/>
  <c r="K18" i="5" s="1"/>
  <c r="L18" i="5" s="1"/>
  <c r="I19" i="5"/>
  <c r="D19" i="5"/>
  <c r="G19" i="5"/>
  <c r="C23" i="5"/>
  <c r="D23" i="5"/>
  <c r="J20" i="12" s="1"/>
  <c r="E23" i="5"/>
  <c r="K20" i="12" s="1"/>
  <c r="F23" i="5"/>
  <c r="G23" i="5"/>
  <c r="M20" i="12" s="1"/>
  <c r="D24" i="5"/>
  <c r="E24" i="5"/>
  <c r="F24" i="5"/>
  <c r="G24" i="5"/>
  <c r="I6" i="19"/>
  <c r="I7" i="19" s="1"/>
  <c r="I8" i="19"/>
  <c r="I9" i="19" s="1"/>
  <c r="N6" i="29"/>
  <c r="O6" i="29" s="1"/>
  <c r="P6" i="29" s="1"/>
  <c r="Q6" i="29" s="1"/>
  <c r="R6" i="29" s="1"/>
  <c r="S6" i="29" s="1"/>
  <c r="T6" i="29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N7" i="29"/>
  <c r="B11" i="29"/>
  <c r="C55" i="29"/>
  <c r="C56" i="29"/>
  <c r="N11" i="29"/>
  <c r="N12" i="29" s="1"/>
  <c r="O54" i="29"/>
  <c r="P54" i="29"/>
  <c r="Q54" i="29" s="1"/>
  <c r="P11" i="29"/>
  <c r="P12" i="29" s="1"/>
  <c r="AM18" i="29"/>
  <c r="AM19" i="29" s="1"/>
  <c r="AM20" i="29" s="1"/>
  <c r="AM21" i="29" s="1"/>
  <c r="AM22" i="29" s="1"/>
  <c r="AM23" i="29" s="1"/>
  <c r="AM24" i="29" s="1"/>
  <c r="AM25" i="29" s="1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AM38" i="29" s="1"/>
  <c r="AM39" i="29" s="1"/>
  <c r="AM40" i="29" s="1"/>
  <c r="AM41" i="29" s="1"/>
  <c r="AM42" i="29" s="1"/>
  <c r="AM43" i="29" s="1"/>
  <c r="AM44" i="29" s="1"/>
  <c r="AM45" i="29" s="1"/>
  <c r="AM46" i="29" s="1"/>
  <c r="AM47" i="29" s="1"/>
  <c r="AM48" i="29" s="1"/>
  <c r="AN27" i="29"/>
  <c r="AN28" i="29" s="1"/>
  <c r="AN29" i="29" s="1"/>
  <c r="AN30" i="29" s="1"/>
  <c r="AN31" i="29" s="1"/>
  <c r="AN32" i="29" s="1"/>
  <c r="AN33" i="29" s="1"/>
  <c r="AN34" i="29" s="1"/>
  <c r="AN35" i="29" s="1"/>
  <c r="AN36" i="29" s="1"/>
  <c r="AN37" i="29" s="1"/>
  <c r="AN38" i="29" s="1"/>
  <c r="AN39" i="29" s="1"/>
  <c r="AN40" i="29" s="1"/>
  <c r="AN41" i="29" s="1"/>
  <c r="AN42" i="29" s="1"/>
  <c r="AN43" i="29" s="1"/>
  <c r="B22" i="29"/>
  <c r="C25" i="29"/>
  <c r="C57" i="29"/>
  <c r="AN44" i="29"/>
  <c r="AN45" i="29" s="1"/>
  <c r="AN46" i="29" s="1"/>
  <c r="AN47" i="29" s="1"/>
  <c r="AN48" i="29" s="1"/>
  <c r="O53" i="29"/>
  <c r="P53" i="29"/>
  <c r="Q53" i="29" s="1"/>
  <c r="R53" i="29" s="1"/>
  <c r="S53" i="29" s="1"/>
  <c r="T53" i="29" s="1"/>
  <c r="U53" i="29" s="1"/>
  <c r="V53" i="29" s="1"/>
  <c r="W53" i="29" s="1"/>
  <c r="X53" i="29" s="1"/>
  <c r="Y53" i="29" s="1"/>
  <c r="Z53" i="29" s="1"/>
  <c r="AA53" i="29" s="1"/>
  <c r="AB53" i="29" s="1"/>
  <c r="AC53" i="29" s="1"/>
  <c r="AD53" i="29" s="1"/>
  <c r="AE53" i="29" s="1"/>
  <c r="AF53" i="29" s="1"/>
  <c r="AG53" i="29" s="1"/>
  <c r="AH53" i="29" s="1"/>
  <c r="AJ55" i="29"/>
  <c r="AJ56" i="29"/>
  <c r="AJ57" i="29"/>
  <c r="C58" i="29"/>
  <c r="AJ58" i="29"/>
  <c r="C59" i="29"/>
  <c r="AJ59" i="29"/>
  <c r="C60" i="29"/>
  <c r="AJ60" i="29"/>
  <c r="N23" i="15"/>
  <c r="N27" i="15"/>
  <c r="B15" i="30"/>
  <c r="U15" i="30" s="1"/>
  <c r="AD15" i="30" s="1"/>
  <c r="AK15" i="30" s="1"/>
  <c r="I15" i="30"/>
  <c r="AM15" i="30" s="1"/>
  <c r="J15" i="30"/>
  <c r="K15" i="30"/>
  <c r="L15" i="30"/>
  <c r="M15" i="30"/>
  <c r="W15" i="30"/>
  <c r="AN15" i="30"/>
  <c r="AO15" i="30"/>
  <c r="AP15" i="30"/>
  <c r="B16" i="30"/>
  <c r="I16" i="30"/>
  <c r="J16" i="30"/>
  <c r="K16" i="30"/>
  <c r="L16" i="30"/>
  <c r="AO16" i="30" s="1"/>
  <c r="M16" i="30"/>
  <c r="W16" i="30"/>
  <c r="N16" i="30" s="1"/>
  <c r="X16" i="30"/>
  <c r="Y16" i="30"/>
  <c r="Z16" i="30" s="1"/>
  <c r="AA16" i="30" s="1"/>
  <c r="AB16" i="30" s="1"/>
  <c r="Q16" i="30"/>
  <c r="U16" i="30"/>
  <c r="AD16" i="30" s="1"/>
  <c r="AK16" i="30" s="1"/>
  <c r="AN16" i="30"/>
  <c r="AP16" i="30"/>
  <c r="B17" i="30"/>
  <c r="I17" i="30"/>
  <c r="J17" i="30"/>
  <c r="K17" i="30"/>
  <c r="L17" i="30"/>
  <c r="M17" i="30"/>
  <c r="W17" i="30"/>
  <c r="U17" i="30"/>
  <c r="AD17" i="30" s="1"/>
  <c r="AK17" i="30"/>
  <c r="AM17" i="30"/>
  <c r="B18" i="30"/>
  <c r="I18" i="30"/>
  <c r="J18" i="30"/>
  <c r="K18" i="30"/>
  <c r="L18" i="30"/>
  <c r="M18" i="30"/>
  <c r="W18" i="30"/>
  <c r="O18" i="30" s="1"/>
  <c r="P18" i="30" s="1"/>
  <c r="Q18" i="30" s="1"/>
  <c r="R18" i="30" s="1"/>
  <c r="N18" i="30"/>
  <c r="U18" i="30"/>
  <c r="AD18" i="30" s="1"/>
  <c r="AK18" i="30" s="1"/>
  <c r="AM18" i="30"/>
  <c r="B19" i="30"/>
  <c r="I19" i="30"/>
  <c r="J19" i="30"/>
  <c r="K19" i="30"/>
  <c r="L19" i="30"/>
  <c r="M19" i="30"/>
  <c r="W19" i="30"/>
  <c r="O19" i="30" s="1"/>
  <c r="N19" i="30"/>
  <c r="P19" i="30"/>
  <c r="Q19" i="30" s="1"/>
  <c r="R19" i="30" s="1"/>
  <c r="U19" i="30"/>
  <c r="AD19" i="30" s="1"/>
  <c r="AK19" i="30"/>
  <c r="AM19" i="30"/>
  <c r="B20" i="30"/>
  <c r="I20" i="30"/>
  <c r="J20" i="30"/>
  <c r="K20" i="30"/>
  <c r="L20" i="30"/>
  <c r="M20" i="30"/>
  <c r="W20" i="30"/>
  <c r="O20" i="30" s="1"/>
  <c r="P20" i="30" s="1"/>
  <c r="Q20" i="30" s="1"/>
  <c r="N20" i="30"/>
  <c r="R20" i="30"/>
  <c r="U20" i="30"/>
  <c r="AD20" i="30" s="1"/>
  <c r="AK20" i="30" s="1"/>
  <c r="B21" i="30"/>
  <c r="I21" i="30"/>
  <c r="J21" i="30"/>
  <c r="K21" i="30"/>
  <c r="L21" i="30"/>
  <c r="M21" i="30"/>
  <c r="W21" i="30"/>
  <c r="O21" i="30" s="1"/>
  <c r="N21" i="30"/>
  <c r="P21" i="30"/>
  <c r="Q21" i="30" s="1"/>
  <c r="R21" i="30"/>
  <c r="U21" i="30"/>
  <c r="AD21" i="30" s="1"/>
  <c r="AK21" i="30"/>
  <c r="B22" i="30"/>
  <c r="I22" i="30"/>
  <c r="J22" i="30"/>
  <c r="K22" i="30"/>
  <c r="L22" i="30"/>
  <c r="M22" i="30"/>
  <c r="W22" i="30"/>
  <c r="O22" i="30" s="1"/>
  <c r="P22" i="30" s="1"/>
  <c r="Q22" i="30" s="1"/>
  <c r="R22" i="30" s="1"/>
  <c r="N22" i="30"/>
  <c r="U22" i="30"/>
  <c r="AD22" i="30" s="1"/>
  <c r="AK22" i="30" s="1"/>
  <c r="AM22" i="30"/>
  <c r="B23" i="30"/>
  <c r="I23" i="30"/>
  <c r="J23" i="30"/>
  <c r="K23" i="30"/>
  <c r="L23" i="30"/>
  <c r="M23" i="30"/>
  <c r="W23" i="30"/>
  <c r="O23" i="30" s="1"/>
  <c r="N23" i="30"/>
  <c r="P23" i="30"/>
  <c r="Q23" i="30" s="1"/>
  <c r="R23" i="30" s="1"/>
  <c r="U23" i="30"/>
  <c r="AD23" i="30" s="1"/>
  <c r="AK23" i="30"/>
  <c r="AM23" i="30"/>
  <c r="B24" i="30"/>
  <c r="I24" i="30"/>
  <c r="J24" i="30"/>
  <c r="K24" i="30"/>
  <c r="L24" i="30"/>
  <c r="AO24" i="30" s="1"/>
  <c r="M24" i="30"/>
  <c r="W24" i="30"/>
  <c r="O24" i="30" s="1"/>
  <c r="P24" i="30" s="1"/>
  <c r="Q24" i="30" s="1"/>
  <c r="R24" i="30" s="1"/>
  <c r="N24" i="30"/>
  <c r="U24" i="30"/>
  <c r="AD24" i="30" s="1"/>
  <c r="AK24" i="30" s="1"/>
  <c r="AM24" i="30"/>
  <c r="B25" i="30"/>
  <c r="I25" i="30"/>
  <c r="J25" i="30"/>
  <c r="K25" i="30"/>
  <c r="L25" i="30"/>
  <c r="M25" i="30"/>
  <c r="W25" i="30"/>
  <c r="O25" i="30" s="1"/>
  <c r="P25" i="30" s="1"/>
  <c r="Q25" i="30" s="1"/>
  <c r="R25" i="30" s="1"/>
  <c r="N25" i="30"/>
  <c r="U25" i="30"/>
  <c r="AD25" i="30" s="1"/>
  <c r="AK25" i="30" s="1"/>
  <c r="AM25" i="30"/>
  <c r="AP25" i="30"/>
  <c r="B26" i="30"/>
  <c r="I26" i="30"/>
  <c r="J26" i="30"/>
  <c r="K26" i="30"/>
  <c r="L26" i="30"/>
  <c r="M26" i="30"/>
  <c r="W26" i="30"/>
  <c r="O26" i="30" s="1"/>
  <c r="P26" i="30" s="1"/>
  <c r="Q26" i="30" s="1"/>
  <c r="R26" i="30" s="1"/>
  <c r="N26" i="30"/>
  <c r="U26" i="30"/>
  <c r="AD26" i="30" s="1"/>
  <c r="AK26" i="30"/>
  <c r="B27" i="30"/>
  <c r="I27" i="30"/>
  <c r="J27" i="30"/>
  <c r="AM27" i="30" s="1"/>
  <c r="K27" i="30"/>
  <c r="L27" i="30"/>
  <c r="AO27" i="30" s="1"/>
  <c r="M27" i="30"/>
  <c r="W27" i="30"/>
  <c r="N27" i="30"/>
  <c r="U27" i="30"/>
  <c r="AD27" i="30" s="1"/>
  <c r="AK27" i="30" s="1"/>
  <c r="I28" i="30"/>
  <c r="J28" i="30"/>
  <c r="M28" i="30"/>
  <c r="B15" i="17"/>
  <c r="I15" i="17"/>
  <c r="J15" i="17"/>
  <c r="K15" i="17"/>
  <c r="K28" i="17" s="1"/>
  <c r="L15" i="17"/>
  <c r="L28" i="17" s="1"/>
  <c r="M15" i="17"/>
  <c r="M28" i="17" s="1"/>
  <c r="B16" i="17"/>
  <c r="I16" i="17"/>
  <c r="J16" i="17"/>
  <c r="K16" i="17"/>
  <c r="L16" i="17"/>
  <c r="M16" i="17"/>
  <c r="B17" i="17"/>
  <c r="I17" i="17"/>
  <c r="J17" i="17"/>
  <c r="K17" i="17"/>
  <c r="L17" i="17"/>
  <c r="M17" i="17"/>
  <c r="B18" i="17"/>
  <c r="I18" i="17"/>
  <c r="J18" i="17"/>
  <c r="K18" i="17"/>
  <c r="L18" i="17"/>
  <c r="M18" i="17"/>
  <c r="B19" i="17"/>
  <c r="I19" i="17"/>
  <c r="J19" i="17"/>
  <c r="K19" i="17"/>
  <c r="L19" i="17"/>
  <c r="M19" i="17"/>
  <c r="B20" i="17"/>
  <c r="I20" i="17"/>
  <c r="J20" i="17"/>
  <c r="K20" i="17"/>
  <c r="L20" i="17"/>
  <c r="M20" i="17"/>
  <c r="B21" i="17"/>
  <c r="I21" i="17"/>
  <c r="J21" i="17"/>
  <c r="K21" i="17"/>
  <c r="L21" i="17"/>
  <c r="M21" i="17"/>
  <c r="B22" i="17"/>
  <c r="I22" i="17"/>
  <c r="J22" i="17"/>
  <c r="K22" i="17"/>
  <c r="L22" i="17"/>
  <c r="M22" i="17"/>
  <c r="B23" i="17"/>
  <c r="I23" i="17"/>
  <c r="J23" i="17"/>
  <c r="K23" i="17"/>
  <c r="L23" i="17"/>
  <c r="M23" i="17"/>
  <c r="B24" i="17"/>
  <c r="I24" i="17"/>
  <c r="J24" i="17"/>
  <c r="K24" i="17"/>
  <c r="L24" i="17"/>
  <c r="M24" i="17"/>
  <c r="B25" i="17"/>
  <c r="I25" i="17"/>
  <c r="J25" i="17"/>
  <c r="K25" i="17"/>
  <c r="L25" i="17"/>
  <c r="M25" i="17"/>
  <c r="B26" i="17"/>
  <c r="I26" i="17"/>
  <c r="J26" i="17"/>
  <c r="K26" i="17"/>
  <c r="L26" i="17"/>
  <c r="M26" i="17"/>
  <c r="B27" i="17"/>
  <c r="I27" i="17"/>
  <c r="J27" i="17"/>
  <c r="K27" i="17"/>
  <c r="L27" i="17"/>
  <c r="M27" i="17"/>
  <c r="I28" i="17"/>
  <c r="Q6" i="14"/>
  <c r="AD6" i="14" s="1"/>
  <c r="I28" i="14"/>
  <c r="J30" i="14" s="1"/>
  <c r="J28" i="14"/>
  <c r="K28" i="14"/>
  <c r="Y28" i="14" s="1"/>
  <c r="L28" i="14"/>
  <c r="M30" i="14" s="1"/>
  <c r="M28" i="14"/>
  <c r="N28" i="14"/>
  <c r="V28" i="14"/>
  <c r="W28" i="14"/>
  <c r="R6" i="11"/>
  <c r="J9" i="11"/>
  <c r="K9" i="11"/>
  <c r="K31" i="11" s="1"/>
  <c r="K32" i="11" s="1"/>
  <c r="I13" i="11"/>
  <c r="J13" i="11"/>
  <c r="K13" i="11"/>
  <c r="L13" i="11"/>
  <c r="L18" i="11" s="1"/>
  <c r="L28" i="11" s="1"/>
  <c r="M13" i="11"/>
  <c r="N15" i="11"/>
  <c r="O15" i="11"/>
  <c r="P15" i="11" s="1"/>
  <c r="Q15" i="11" s="1"/>
  <c r="R15" i="11" s="1"/>
  <c r="J16" i="11"/>
  <c r="K16" i="11"/>
  <c r="L16" i="11"/>
  <c r="M16" i="11"/>
  <c r="I18" i="11"/>
  <c r="J18" i="11"/>
  <c r="K18" i="11"/>
  <c r="M18" i="11"/>
  <c r="I21" i="11"/>
  <c r="J21" i="11"/>
  <c r="K21" i="11"/>
  <c r="K26" i="11" s="1"/>
  <c r="L21" i="11"/>
  <c r="L26" i="11" s="1"/>
  <c r="M21" i="11"/>
  <c r="M26" i="11" s="1"/>
  <c r="N23" i="11"/>
  <c r="O23" i="11" s="1"/>
  <c r="P23" i="11" s="1"/>
  <c r="Q23" i="11" s="1"/>
  <c r="R23" i="11" s="1"/>
  <c r="J24" i="11"/>
  <c r="K24" i="11"/>
  <c r="L24" i="11"/>
  <c r="M24" i="11"/>
  <c r="I26" i="11"/>
  <c r="J26" i="11"/>
  <c r="J28" i="11"/>
  <c r="J29" i="11" s="1"/>
  <c r="K28" i="11"/>
  <c r="K29" i="11"/>
  <c r="I9" i="10"/>
  <c r="M7" i="4"/>
  <c r="Z7" i="4" s="1"/>
  <c r="I23" i="4"/>
  <c r="V22" i="4"/>
  <c r="J26" i="4"/>
  <c r="K26" i="4"/>
  <c r="N17" i="3"/>
  <c r="O17" i="3" s="1"/>
  <c r="U17" i="3"/>
  <c r="V17" i="3"/>
  <c r="W17" i="3"/>
  <c r="X17" i="3"/>
  <c r="Y17" i="3"/>
  <c r="Z17" i="3"/>
  <c r="N18" i="3"/>
  <c r="O18" i="3"/>
  <c r="P18" i="3" s="1"/>
  <c r="Q18" i="3" s="1"/>
  <c r="R18" i="3" s="1"/>
  <c r="U18" i="3"/>
  <c r="V18" i="3"/>
  <c r="W18" i="3"/>
  <c r="X18" i="3"/>
  <c r="Y18" i="3"/>
  <c r="Z18" i="3"/>
  <c r="N19" i="3"/>
  <c r="O19" i="3" s="1"/>
  <c r="P19" i="3" s="1"/>
  <c r="Q19" i="3" s="1"/>
  <c r="R19" i="3" s="1"/>
  <c r="U19" i="3"/>
  <c r="V19" i="3"/>
  <c r="W19" i="3"/>
  <c r="X19" i="3"/>
  <c r="Y19" i="3"/>
  <c r="Z19" i="3"/>
  <c r="N20" i="3"/>
  <c r="O20" i="3" s="1"/>
  <c r="P20" i="3" s="1"/>
  <c r="Q20" i="3" s="1"/>
  <c r="R20" i="3" s="1"/>
  <c r="U20" i="3"/>
  <c r="V20" i="3"/>
  <c r="W20" i="3"/>
  <c r="X20" i="3"/>
  <c r="Y20" i="3"/>
  <c r="Z20" i="3"/>
  <c r="N21" i="3"/>
  <c r="O21" i="3" s="1"/>
  <c r="P21" i="3" s="1"/>
  <c r="Q21" i="3" s="1"/>
  <c r="R21" i="3" s="1"/>
  <c r="U21" i="3"/>
  <c r="V21" i="3"/>
  <c r="W21" i="3"/>
  <c r="X21" i="3"/>
  <c r="Y21" i="3"/>
  <c r="Z21" i="3"/>
  <c r="N22" i="3"/>
  <c r="O22" i="3"/>
  <c r="P22" i="3"/>
  <c r="Q22" i="3" s="1"/>
  <c r="R22" i="3" s="1"/>
  <c r="U22" i="3"/>
  <c r="V22" i="3"/>
  <c r="W22" i="3"/>
  <c r="X22" i="3"/>
  <c r="Y22" i="3"/>
  <c r="Z22" i="3"/>
  <c r="O25" i="3"/>
  <c r="P25" i="3"/>
  <c r="Q25" i="3"/>
  <c r="R25" i="3" s="1"/>
  <c r="U25" i="3"/>
  <c r="U26" i="3"/>
  <c r="I28" i="3"/>
  <c r="J28" i="3"/>
  <c r="J29" i="3" s="1"/>
  <c r="K28" i="3"/>
  <c r="L28" i="3"/>
  <c r="M28" i="3"/>
  <c r="M29" i="3" s="1"/>
  <c r="K29" i="3"/>
  <c r="L29" i="3"/>
  <c r="R6" i="2"/>
  <c r="M7" i="2"/>
  <c r="N9" i="2"/>
  <c r="N13" i="11" s="1"/>
  <c r="N18" i="11" s="1"/>
  <c r="O9" i="2"/>
  <c r="O13" i="11" s="1"/>
  <c r="O18" i="11" s="1"/>
  <c r="P9" i="2"/>
  <c r="P13" i="11" s="1"/>
  <c r="P18" i="11" s="1"/>
  <c r="J10" i="2"/>
  <c r="K10" i="2"/>
  <c r="L10" i="2"/>
  <c r="M10" i="2"/>
  <c r="J13" i="2"/>
  <c r="K13" i="2"/>
  <c r="L13" i="2"/>
  <c r="M13" i="2"/>
  <c r="N13" i="2"/>
  <c r="O13" i="2"/>
  <c r="P13" i="2"/>
  <c r="Q13" i="2"/>
  <c r="R13" i="2"/>
  <c r="I15" i="2"/>
  <c r="J15" i="2"/>
  <c r="K15" i="2"/>
  <c r="K28" i="2" s="1"/>
  <c r="K29" i="2" s="1"/>
  <c r="L15" i="2"/>
  <c r="M15" i="2"/>
  <c r="N15" i="2"/>
  <c r="N16" i="2" s="1"/>
  <c r="J16" i="2"/>
  <c r="K16" i="2"/>
  <c r="N19" i="2"/>
  <c r="J20" i="2"/>
  <c r="K20" i="2"/>
  <c r="L20" i="2"/>
  <c r="M20" i="2"/>
  <c r="J23" i="2"/>
  <c r="K23" i="2"/>
  <c r="L23" i="2"/>
  <c r="M23" i="2"/>
  <c r="I25" i="2"/>
  <c r="J25" i="2"/>
  <c r="K25" i="2"/>
  <c r="L25" i="2"/>
  <c r="L26" i="2" s="1"/>
  <c r="M25" i="2"/>
  <c r="M26" i="2" s="1"/>
  <c r="J26" i="2"/>
  <c r="K26" i="2"/>
  <c r="I28" i="2"/>
  <c r="J28" i="2"/>
  <c r="N6" i="1"/>
  <c r="H6" i="5" s="1"/>
  <c r="O6" i="1"/>
  <c r="I6" i="5" s="1"/>
  <c r="M7" i="1"/>
  <c r="G7" i="5" s="1"/>
  <c r="N28" i="1"/>
  <c r="N9" i="6" s="1"/>
  <c r="O28" i="1"/>
  <c r="J29" i="1"/>
  <c r="K29" i="1"/>
  <c r="L29" i="1"/>
  <c r="M29" i="1"/>
  <c r="M6" i="6"/>
  <c r="N6" i="6"/>
  <c r="N6" i="14" s="1"/>
  <c r="AA6" i="14" s="1"/>
  <c r="O6" i="6"/>
  <c r="P6" i="6"/>
  <c r="P6" i="30" s="1"/>
  <c r="Q6" i="6"/>
  <c r="Q6" i="4" s="1"/>
  <c r="AD6" i="4" s="1"/>
  <c r="R6" i="6"/>
  <c r="R6" i="1" s="1"/>
  <c r="L6" i="5" s="1"/>
  <c r="M7" i="6"/>
  <c r="L7" i="6" s="1"/>
  <c r="L7" i="1" s="1"/>
  <c r="F7" i="5" s="1"/>
  <c r="N7" i="6"/>
  <c r="N7" i="11" s="1"/>
  <c r="O7" i="6"/>
  <c r="I9" i="6"/>
  <c r="I9" i="17" s="1"/>
  <c r="V28" i="17" s="1"/>
  <c r="J9" i="6"/>
  <c r="J9" i="17" s="1"/>
  <c r="J10" i="17" s="1"/>
  <c r="K9" i="6"/>
  <c r="L9" i="6"/>
  <c r="M9" i="6"/>
  <c r="K10" i="6"/>
  <c r="L10" i="6"/>
  <c r="I12" i="6"/>
  <c r="J12" i="6"/>
  <c r="K12" i="6"/>
  <c r="K13" i="6" s="1"/>
  <c r="L12" i="6"/>
  <c r="M12" i="6"/>
  <c r="M15" i="6"/>
  <c r="I18" i="6"/>
  <c r="J18" i="6"/>
  <c r="M18" i="6"/>
  <c r="I26" i="6"/>
  <c r="J26" i="6"/>
  <c r="K26" i="6"/>
  <c r="L26" i="6"/>
  <c r="M26" i="6"/>
  <c r="A15" i="7"/>
  <c r="B15" i="7"/>
  <c r="O27" i="15" s="1"/>
  <c r="A16" i="7"/>
  <c r="A17" i="7"/>
  <c r="A18" i="7" s="1"/>
  <c r="A19" i="7" s="1"/>
  <c r="N9" i="20" l="1"/>
  <c r="N23" i="24"/>
  <c r="N28" i="24" s="1"/>
  <c r="N14" i="20" s="1"/>
  <c r="N21" i="22"/>
  <c r="N28" i="22" s="1"/>
  <c r="N12" i="20" s="1"/>
  <c r="H9" i="5"/>
  <c r="N9" i="28"/>
  <c r="N9" i="30"/>
  <c r="N9" i="11"/>
  <c r="N10" i="6"/>
  <c r="N9" i="17"/>
  <c r="N9" i="14"/>
  <c r="N9" i="10"/>
  <c r="M12" i="30"/>
  <c r="M32" i="30" s="1"/>
  <c r="M12" i="17"/>
  <c r="M32" i="17" s="1"/>
  <c r="M33" i="17" s="1"/>
  <c r="M16" i="6"/>
  <c r="M12" i="14"/>
  <c r="M32" i="14" s="1"/>
  <c r="M20" i="6"/>
  <c r="I21" i="25"/>
  <c r="I23" i="25" s="1"/>
  <c r="I25" i="25" s="1"/>
  <c r="I19" i="21"/>
  <c r="I21" i="23"/>
  <c r="I23" i="23" s="1"/>
  <c r="I25" i="23" s="1"/>
  <c r="I13" i="6"/>
  <c r="O7" i="17"/>
  <c r="AB7" i="17" s="1"/>
  <c r="O7" i="30"/>
  <c r="Y7" i="30" s="1"/>
  <c r="O7" i="11"/>
  <c r="O7" i="15"/>
  <c r="P7" i="6"/>
  <c r="O7" i="4"/>
  <c r="AB7" i="4" s="1"/>
  <c r="O7" i="14"/>
  <c r="AB7" i="14" s="1"/>
  <c r="O7" i="1"/>
  <c r="I7" i="5" s="1"/>
  <c r="O7" i="2"/>
  <c r="O7" i="10"/>
  <c r="O7" i="3"/>
  <c r="AB7" i="3" s="1"/>
  <c r="M6" i="30"/>
  <c r="AI6" i="30" s="1"/>
  <c r="AP6" i="30" s="1"/>
  <c r="M6" i="15"/>
  <c r="L6" i="6"/>
  <c r="M6" i="1"/>
  <c r="G6" i="5" s="1"/>
  <c r="M6" i="2"/>
  <c r="M6" i="11"/>
  <c r="M6" i="4"/>
  <c r="Z6" i="4" s="1"/>
  <c r="M6" i="17"/>
  <c r="Z6" i="17" s="1"/>
  <c r="M6" i="14"/>
  <c r="Z6" i="14" s="1"/>
  <c r="M6" i="10"/>
  <c r="K30" i="14"/>
  <c r="I29" i="10"/>
  <c r="I31" i="10"/>
  <c r="I32" i="10" s="1"/>
  <c r="N21" i="11"/>
  <c r="N26" i="11" s="1"/>
  <c r="N28" i="11" s="1"/>
  <c r="N29" i="11" s="1"/>
  <c r="O19" i="2"/>
  <c r="N25" i="2"/>
  <c r="J23" i="26"/>
  <c r="J25" i="26" s="1"/>
  <c r="J20" i="21"/>
  <c r="L7" i="30"/>
  <c r="AH7" i="30" s="1"/>
  <c r="AO7" i="30" s="1"/>
  <c r="L7" i="15"/>
  <c r="L7" i="17"/>
  <c r="Y7" i="17" s="1"/>
  <c r="L7" i="14"/>
  <c r="Y7" i="14" s="1"/>
  <c r="L7" i="10"/>
  <c r="L7" i="11"/>
  <c r="L7" i="3"/>
  <c r="Y7" i="3" s="1"/>
  <c r="L7" i="4"/>
  <c r="Y7" i="4" s="1"/>
  <c r="L7" i="2"/>
  <c r="K7" i="6"/>
  <c r="M16" i="2"/>
  <c r="M6" i="3"/>
  <c r="Z6" i="3" s="1"/>
  <c r="I20" i="21"/>
  <c r="I23" i="26"/>
  <c r="I25" i="26" s="1"/>
  <c r="M33" i="21"/>
  <c r="M21" i="22"/>
  <c r="M23" i="22" s="1"/>
  <c r="M25" i="22" s="1"/>
  <c r="G9" i="5"/>
  <c r="M32" i="21"/>
  <c r="M23" i="24"/>
  <c r="M25" i="24" s="1"/>
  <c r="M9" i="28"/>
  <c r="M9" i="30"/>
  <c r="M9" i="17"/>
  <c r="Z28" i="17" s="1"/>
  <c r="M9" i="11"/>
  <c r="M10" i="6"/>
  <c r="M13" i="6"/>
  <c r="M9" i="10"/>
  <c r="M9" i="14"/>
  <c r="L16" i="2"/>
  <c r="L28" i="2"/>
  <c r="L29" i="2" s="1"/>
  <c r="M28" i="11"/>
  <c r="M29" i="11" s="1"/>
  <c r="J31" i="11"/>
  <c r="J32" i="11" s="1"/>
  <c r="J19" i="21"/>
  <c r="J21" i="23"/>
  <c r="J23" i="23" s="1"/>
  <c r="J25" i="23" s="1"/>
  <c r="J21" i="25"/>
  <c r="J23" i="25" s="1"/>
  <c r="J25" i="25" s="1"/>
  <c r="J13" i="6"/>
  <c r="Q6" i="15"/>
  <c r="Q6" i="17"/>
  <c r="AD6" i="17" s="1"/>
  <c r="Q6" i="30"/>
  <c r="Q6" i="11"/>
  <c r="Q6" i="2"/>
  <c r="Q6" i="1"/>
  <c r="K6" i="5" s="1"/>
  <c r="Q6" i="10"/>
  <c r="Q6" i="3"/>
  <c r="AD6" i="3" s="1"/>
  <c r="J20" i="4"/>
  <c r="I25" i="4"/>
  <c r="I28" i="4" s="1"/>
  <c r="M30" i="17"/>
  <c r="M29" i="17"/>
  <c r="L29" i="11"/>
  <c r="X28" i="14"/>
  <c r="K29" i="14"/>
  <c r="L30" i="14"/>
  <c r="P28" i="1"/>
  <c r="O9" i="6"/>
  <c r="J29" i="2"/>
  <c r="N28" i="3"/>
  <c r="N29" i="3" s="1"/>
  <c r="O28" i="3"/>
  <c r="P17" i="3"/>
  <c r="L30" i="17"/>
  <c r="AN17" i="30"/>
  <c r="AG17" i="30"/>
  <c r="K28" i="30"/>
  <c r="L32" i="21"/>
  <c r="L9" i="20"/>
  <c r="L21" i="22"/>
  <c r="L23" i="22" s="1"/>
  <c r="L25" i="22" s="1"/>
  <c r="L23" i="24"/>
  <c r="L25" i="24" s="1"/>
  <c r="L33" i="21"/>
  <c r="F9" i="5"/>
  <c r="L9" i="28"/>
  <c r="L29" i="28" s="1"/>
  <c r="L9" i="30"/>
  <c r="L9" i="17"/>
  <c r="L10" i="17" s="1"/>
  <c r="L9" i="14"/>
  <c r="L10" i="14" s="1"/>
  <c r="B16" i="7"/>
  <c r="L15" i="6"/>
  <c r="J10" i="6"/>
  <c r="K32" i="21"/>
  <c r="K9" i="20"/>
  <c r="K33" i="21"/>
  <c r="K23" i="24"/>
  <c r="K25" i="24" s="1"/>
  <c r="K9" i="28"/>
  <c r="K21" i="22"/>
  <c r="K23" i="22" s="1"/>
  <c r="K25" i="22" s="1"/>
  <c r="E9" i="5"/>
  <c r="K9" i="30"/>
  <c r="K9" i="17"/>
  <c r="K10" i="17" s="1"/>
  <c r="O6" i="30"/>
  <c r="O6" i="15"/>
  <c r="O6" i="11"/>
  <c r="O6" i="14"/>
  <c r="AB6" i="14" s="1"/>
  <c r="Q9" i="2"/>
  <c r="N7" i="2"/>
  <c r="P6" i="2"/>
  <c r="O6" i="4"/>
  <c r="AB6" i="4" s="1"/>
  <c r="I9" i="11"/>
  <c r="P6" i="11"/>
  <c r="N7" i="17"/>
  <c r="AA7" i="17" s="1"/>
  <c r="O6" i="17"/>
  <c r="AB6" i="17" s="1"/>
  <c r="AF27" i="30"/>
  <c r="AO21" i="30"/>
  <c r="AP21" i="30"/>
  <c r="L28" i="30"/>
  <c r="N6" i="30"/>
  <c r="N6" i="17"/>
  <c r="AA6" i="17" s="1"/>
  <c r="O6" i="2"/>
  <c r="N7" i="3"/>
  <c r="AA7" i="3" s="1"/>
  <c r="R6" i="3"/>
  <c r="AE6" i="3" s="1"/>
  <c r="N6" i="4"/>
  <c r="AA6" i="4" s="1"/>
  <c r="R6" i="10"/>
  <c r="N6" i="11"/>
  <c r="K9" i="14"/>
  <c r="M7" i="17"/>
  <c r="Z7" i="17" s="1"/>
  <c r="AN21" i="30"/>
  <c r="AG21" i="30"/>
  <c r="K25" i="20"/>
  <c r="K23" i="20"/>
  <c r="P6" i="4"/>
  <c r="AC6" i="4" s="1"/>
  <c r="K15" i="6"/>
  <c r="I21" i="22"/>
  <c r="I23" i="22" s="1"/>
  <c r="I25" i="22" s="1"/>
  <c r="I23" i="24"/>
  <c r="I9" i="28"/>
  <c r="I9" i="20"/>
  <c r="C9" i="5"/>
  <c r="C14" i="5" s="1"/>
  <c r="I9" i="30"/>
  <c r="I32" i="21"/>
  <c r="M28" i="2"/>
  <c r="M29" i="2" s="1"/>
  <c r="P15" i="2"/>
  <c r="N6" i="2"/>
  <c r="M7" i="3"/>
  <c r="Z7" i="3" s="1"/>
  <c r="I9" i="14"/>
  <c r="I29" i="14" s="1"/>
  <c r="AN18" i="30"/>
  <c r="AG18" i="30"/>
  <c r="P6" i="14"/>
  <c r="AC6" i="14" s="1"/>
  <c r="P6" i="17"/>
  <c r="AC6" i="17" s="1"/>
  <c r="AH27" i="30"/>
  <c r="AP27" i="30"/>
  <c r="J33" i="21"/>
  <c r="J21" i="22"/>
  <c r="J23" i="22" s="1"/>
  <c r="J25" i="22" s="1"/>
  <c r="D9" i="5"/>
  <c r="J23" i="24"/>
  <c r="J25" i="24" s="1"/>
  <c r="J32" i="21"/>
  <c r="J9" i="30"/>
  <c r="J29" i="30" s="1"/>
  <c r="J9" i="20"/>
  <c r="J9" i="14"/>
  <c r="L13" i="6"/>
  <c r="M23" i="26"/>
  <c r="M25" i="26" s="1"/>
  <c r="M20" i="21"/>
  <c r="I15" i="6"/>
  <c r="M19" i="21"/>
  <c r="M21" i="23"/>
  <c r="M23" i="23" s="1"/>
  <c r="M25" i="23" s="1"/>
  <c r="M21" i="25"/>
  <c r="M23" i="25" s="1"/>
  <c r="M25" i="25" s="1"/>
  <c r="O15" i="2"/>
  <c r="P6" i="3"/>
  <c r="AC6" i="3" s="1"/>
  <c r="L9" i="10"/>
  <c r="N7" i="10"/>
  <c r="P6" i="10"/>
  <c r="L29" i="14"/>
  <c r="N29" i="14"/>
  <c r="O28" i="14"/>
  <c r="J28" i="17"/>
  <c r="AO26" i="30"/>
  <c r="AP26" i="30"/>
  <c r="AH26" i="30"/>
  <c r="AF25" i="30"/>
  <c r="AM21" i="30"/>
  <c r="J9" i="28"/>
  <c r="N7" i="30"/>
  <c r="X7" i="30" s="1"/>
  <c r="N7" i="14"/>
  <c r="AA7" i="14" s="1"/>
  <c r="N7" i="15"/>
  <c r="J15" i="6"/>
  <c r="L21" i="25"/>
  <c r="L23" i="25" s="1"/>
  <c r="L25" i="25" s="1"/>
  <c r="L21" i="23"/>
  <c r="L23" i="23" s="1"/>
  <c r="L25" i="23" s="1"/>
  <c r="L19" i="21"/>
  <c r="M7" i="15"/>
  <c r="M7" i="30"/>
  <c r="AI7" i="30" s="1"/>
  <c r="AP7" i="30" s="1"/>
  <c r="M7" i="11"/>
  <c r="N7" i="1"/>
  <c r="H7" i="5" s="1"/>
  <c r="P6" i="1"/>
  <c r="J6" i="5" s="1"/>
  <c r="O6" i="3"/>
  <c r="AB6" i="3" s="1"/>
  <c r="K9" i="10"/>
  <c r="M7" i="10"/>
  <c r="O6" i="10"/>
  <c r="N30" i="14"/>
  <c r="Z28" i="14"/>
  <c r="M7" i="14"/>
  <c r="Z7" i="14" s="1"/>
  <c r="AE25" i="30"/>
  <c r="AN22" i="30"/>
  <c r="AG22" i="30"/>
  <c r="P6" i="15"/>
  <c r="I28" i="11"/>
  <c r="I29" i="11" s="1"/>
  <c r="K19" i="21"/>
  <c r="K21" i="23"/>
  <c r="K23" i="23" s="1"/>
  <c r="K25" i="23" s="1"/>
  <c r="K21" i="25"/>
  <c r="K23" i="25" s="1"/>
  <c r="K25" i="25" s="1"/>
  <c r="R6" i="15"/>
  <c r="R6" i="30"/>
  <c r="R6" i="14"/>
  <c r="AE6" i="14" s="1"/>
  <c r="R6" i="17"/>
  <c r="AE6" i="17" s="1"/>
  <c r="N6" i="3"/>
  <c r="AA6" i="3" s="1"/>
  <c r="N7" i="4"/>
  <c r="AA7" i="4" s="1"/>
  <c r="R6" i="4"/>
  <c r="AE6" i="4" s="1"/>
  <c r="J9" i="10"/>
  <c r="N6" i="10"/>
  <c r="L9" i="11"/>
  <c r="L31" i="11" s="1"/>
  <c r="L32" i="11" s="1"/>
  <c r="I29" i="17"/>
  <c r="J30" i="30"/>
  <c r="AF28" i="30"/>
  <c r="AM28" i="30"/>
  <c r="AE20" i="30"/>
  <c r="AM20" i="30"/>
  <c r="N6" i="15"/>
  <c r="AN27" i="30"/>
  <c r="AG27" i="30"/>
  <c r="AP24" i="30"/>
  <c r="AO22" i="30"/>
  <c r="AP22" i="30"/>
  <c r="AO18" i="30"/>
  <c r="AP18" i="30"/>
  <c r="R16" i="30"/>
  <c r="AN26" i="30"/>
  <c r="AG26" i="30"/>
  <c r="AO23" i="30"/>
  <c r="AP23" i="30"/>
  <c r="AO19" i="30"/>
  <c r="AP19" i="30"/>
  <c r="AO25" i="30"/>
  <c r="AH23" i="30"/>
  <c r="AN23" i="30"/>
  <c r="AG23" i="30"/>
  <c r="AH19" i="30"/>
  <c r="AN19" i="30"/>
  <c r="AG19" i="30"/>
  <c r="AN25" i="30"/>
  <c r="AG25" i="30"/>
  <c r="AO20" i="30"/>
  <c r="AP20" i="30"/>
  <c r="AM16" i="30"/>
  <c r="N15" i="30"/>
  <c r="O27" i="30"/>
  <c r="P27" i="30" s="1"/>
  <c r="Q27" i="30" s="1"/>
  <c r="R27" i="30" s="1"/>
  <c r="AM26" i="30"/>
  <c r="AN24" i="30"/>
  <c r="AG24" i="30"/>
  <c r="AH20" i="30"/>
  <c r="AN20" i="30"/>
  <c r="AG20" i="30"/>
  <c r="AO17" i="30"/>
  <c r="AP17" i="30"/>
  <c r="O16" i="30"/>
  <c r="P16" i="30"/>
  <c r="Q11" i="29"/>
  <c r="Q12" i="29" s="1"/>
  <c r="R54" i="29"/>
  <c r="M23" i="20"/>
  <c r="M25" i="20"/>
  <c r="M23" i="28"/>
  <c r="J26" i="20"/>
  <c r="L25" i="20"/>
  <c r="L23" i="20"/>
  <c r="J26" i="28"/>
  <c r="J28" i="28"/>
  <c r="J29" i="28" s="1"/>
  <c r="J29" i="20"/>
  <c r="I11" i="19"/>
  <c r="I12" i="19" s="1"/>
  <c r="B30" i="6" s="1"/>
  <c r="I20" i="12"/>
  <c r="J23" i="28"/>
  <c r="F19" i="5"/>
  <c r="P26" i="28"/>
  <c r="K23" i="28"/>
  <c r="M25" i="28"/>
  <c r="I25" i="28"/>
  <c r="I23" i="28"/>
  <c r="I28" i="20"/>
  <c r="I29" i="20" s="1"/>
  <c r="I26" i="20"/>
  <c r="O11" i="29"/>
  <c r="O12" i="29" s="1"/>
  <c r="L20" i="12"/>
  <c r="F25" i="5"/>
  <c r="K25" i="28"/>
  <c r="J23" i="20"/>
  <c r="I25" i="24"/>
  <c r="O7" i="29"/>
  <c r="N18" i="29"/>
  <c r="I23" i="20"/>
  <c r="O14" i="12"/>
  <c r="O17" i="12" s="1"/>
  <c r="P8" i="12"/>
  <c r="B30" i="12"/>
  <c r="B29" i="12"/>
  <c r="J12" i="30" l="1"/>
  <c r="J32" i="30" s="1"/>
  <c r="J33" i="30" s="1"/>
  <c r="J12" i="17"/>
  <c r="J32" i="17" s="1"/>
  <c r="J33" i="17" s="1"/>
  <c r="J20" i="6"/>
  <c r="J16" i="6"/>
  <c r="J12" i="14"/>
  <c r="J32" i="14" s="1"/>
  <c r="J33" i="14" s="1"/>
  <c r="I12" i="17"/>
  <c r="I32" i="17" s="1"/>
  <c r="I33" i="17" s="1"/>
  <c r="I12" i="14"/>
  <c r="I32" i="14" s="1"/>
  <c r="I33" i="14" s="1"/>
  <c r="I20" i="6"/>
  <c r="I12" i="30"/>
  <c r="I32" i="30" s="1"/>
  <c r="I33" i="30" s="1"/>
  <c r="I16" i="6"/>
  <c r="AE27" i="30"/>
  <c r="I29" i="30"/>
  <c r="L12" i="30"/>
  <c r="L32" i="30" s="1"/>
  <c r="L33" i="30" s="1"/>
  <c r="L12" i="14"/>
  <c r="L32" i="14" s="1"/>
  <c r="L33" i="14" s="1"/>
  <c r="L16" i="6"/>
  <c r="L12" i="17"/>
  <c r="L32" i="17" s="1"/>
  <c r="L33" i="17" s="1"/>
  <c r="D14" i="5"/>
  <c r="D25" i="5"/>
  <c r="D10" i="5"/>
  <c r="K26" i="20"/>
  <c r="K28" i="20"/>
  <c r="K29" i="20" s="1"/>
  <c r="P27" i="15"/>
  <c r="B17" i="7"/>
  <c r="G10" i="5"/>
  <c r="G14" i="5"/>
  <c r="G25" i="5"/>
  <c r="N28" i="28"/>
  <c r="N25" i="28"/>
  <c r="N22" i="28"/>
  <c r="P7" i="29"/>
  <c r="C26" i="29"/>
  <c r="O18" i="29"/>
  <c r="M26" i="28"/>
  <c r="M28" i="28"/>
  <c r="M29" i="28" s="1"/>
  <c r="L29" i="10"/>
  <c r="L31" i="10"/>
  <c r="L32" i="10" s="1"/>
  <c r="J21" i="21"/>
  <c r="J23" i="21" s="1"/>
  <c r="J25" i="21" s="1"/>
  <c r="M33" i="30"/>
  <c r="H10" i="5"/>
  <c r="H13" i="5"/>
  <c r="H23" i="5"/>
  <c r="I28" i="28"/>
  <c r="I29" i="28" s="1"/>
  <c r="I26" i="28"/>
  <c r="J31" i="10"/>
  <c r="J32" i="10" s="1"/>
  <c r="J29" i="10"/>
  <c r="K29" i="30"/>
  <c r="K30" i="30"/>
  <c r="AG28" i="30"/>
  <c r="K18" i="6"/>
  <c r="AN28" i="30"/>
  <c r="N17" i="30"/>
  <c r="N28" i="30" s="1"/>
  <c r="N10" i="30"/>
  <c r="R11" i="29"/>
  <c r="R12" i="29" s="1"/>
  <c r="S54" i="29"/>
  <c r="C25" i="5"/>
  <c r="L28" i="20"/>
  <c r="L29" i="20" s="1"/>
  <c r="L26" i="20"/>
  <c r="AE23" i="30"/>
  <c r="AE18" i="30"/>
  <c r="L29" i="17"/>
  <c r="O21" i="22"/>
  <c r="O28" i="22" s="1"/>
  <c r="O12" i="20" s="1"/>
  <c r="O23" i="24"/>
  <c r="O28" i="24" s="1"/>
  <c r="O14" i="20" s="1"/>
  <c r="O9" i="28"/>
  <c r="O9" i="20"/>
  <c r="I9" i="5"/>
  <c r="O9" i="30"/>
  <c r="O9" i="14"/>
  <c r="O10" i="14" s="1"/>
  <c r="O9" i="11"/>
  <c r="O31" i="11" s="1"/>
  <c r="O32" i="11" s="1"/>
  <c r="O10" i="6"/>
  <c r="O9" i="10"/>
  <c r="O9" i="17"/>
  <c r="M31" i="11"/>
  <c r="M32" i="11" s="1"/>
  <c r="N31" i="10"/>
  <c r="N32" i="10" s="1"/>
  <c r="N28" i="10"/>
  <c r="N12" i="6" s="1"/>
  <c r="AE26" i="30"/>
  <c r="AE24" i="30"/>
  <c r="Q13" i="11"/>
  <c r="Q18" i="11" s="1"/>
  <c r="Q15" i="2"/>
  <c r="R9" i="2"/>
  <c r="K7" i="30"/>
  <c r="AG7" i="30" s="1"/>
  <c r="AN7" i="30" s="1"/>
  <c r="K7" i="15"/>
  <c r="K7" i="14"/>
  <c r="X7" i="14" s="1"/>
  <c r="K7" i="11"/>
  <c r="K7" i="3"/>
  <c r="X7" i="3" s="1"/>
  <c r="J7" i="6"/>
  <c r="K7" i="2"/>
  <c r="K7" i="17"/>
  <c r="X7" i="17" s="1"/>
  <c r="K7" i="4"/>
  <c r="X7" i="4" s="1"/>
  <c r="K7" i="1"/>
  <c r="E7" i="5" s="1"/>
  <c r="K7" i="10"/>
  <c r="Q8" i="12"/>
  <c r="B31" i="12"/>
  <c r="AE16" i="30"/>
  <c r="AE17" i="30"/>
  <c r="J30" i="17"/>
  <c r="J29" i="17"/>
  <c r="W28" i="17"/>
  <c r="O16" i="2"/>
  <c r="J10" i="14"/>
  <c r="J29" i="14"/>
  <c r="Q28" i="1"/>
  <c r="P9" i="6"/>
  <c r="M10" i="17"/>
  <c r="L6" i="17"/>
  <c r="Y6" i="17" s="1"/>
  <c r="L6" i="15"/>
  <c r="L6" i="30"/>
  <c r="AH6" i="30" s="1"/>
  <c r="AO6" i="30" s="1"/>
  <c r="L6" i="14"/>
  <c r="Y6" i="14" s="1"/>
  <c r="L6" i="11"/>
  <c r="L6" i="2"/>
  <c r="K6" i="6"/>
  <c r="L6" i="4"/>
  <c r="Y6" i="4" s="1"/>
  <c r="L6" i="3"/>
  <c r="Y6" i="3" s="1"/>
  <c r="L6" i="10"/>
  <c r="L6" i="1"/>
  <c r="F6" i="5" s="1"/>
  <c r="I21" i="21"/>
  <c r="I23" i="21" s="1"/>
  <c r="I25" i="21" s="1"/>
  <c r="N10" i="14"/>
  <c r="K26" i="28"/>
  <c r="K28" i="28"/>
  <c r="K29" i="28" s="1"/>
  <c r="AE15" i="30"/>
  <c r="O30" i="14"/>
  <c r="P28" i="14"/>
  <c r="O29" i="14"/>
  <c r="P16" i="2"/>
  <c r="K10" i="14"/>
  <c r="I31" i="11"/>
  <c r="I32" i="11" s="1"/>
  <c r="L10" i="30"/>
  <c r="AH24" i="30"/>
  <c r="AH25" i="30"/>
  <c r="AH16" i="30"/>
  <c r="AH18" i="30"/>
  <c r="AH15" i="30"/>
  <c r="AH21" i="30"/>
  <c r="AH17" i="30"/>
  <c r="AH22" i="30"/>
  <c r="K30" i="17"/>
  <c r="Y28" i="17"/>
  <c r="J23" i="4"/>
  <c r="K20" i="4" s="1"/>
  <c r="J25" i="4"/>
  <c r="J28" i="4" s="1"/>
  <c r="J29" i="4" s="1"/>
  <c r="W22" i="4"/>
  <c r="AI15" i="30"/>
  <c r="AI16" i="30"/>
  <c r="AI17" i="30"/>
  <c r="AI18" i="30"/>
  <c r="AI19" i="30"/>
  <c r="AI20" i="30"/>
  <c r="AI21" i="30"/>
  <c r="AI22" i="30"/>
  <c r="AI23" i="30"/>
  <c r="AI27" i="30"/>
  <c r="AI24" i="30"/>
  <c r="AI28" i="30"/>
  <c r="M29" i="30"/>
  <c r="M10" i="30"/>
  <c r="AI26" i="30"/>
  <c r="AI25" i="30"/>
  <c r="N26" i="2"/>
  <c r="N28" i="2"/>
  <c r="N29" i="2" s="1"/>
  <c r="P7" i="15"/>
  <c r="P7" i="17"/>
  <c r="AC7" i="17" s="1"/>
  <c r="P7" i="30"/>
  <c r="Z7" i="30" s="1"/>
  <c r="P7" i="14"/>
  <c r="AC7" i="14" s="1"/>
  <c r="Q7" i="6"/>
  <c r="P7" i="4"/>
  <c r="AC7" i="4" s="1"/>
  <c r="P7" i="11"/>
  <c r="P7" i="1"/>
  <c r="J7" i="5" s="1"/>
  <c r="P7" i="10"/>
  <c r="P7" i="3"/>
  <c r="AC7" i="3" s="1"/>
  <c r="P7" i="2"/>
  <c r="N10" i="17"/>
  <c r="N28" i="17"/>
  <c r="O15" i="30"/>
  <c r="K29" i="10"/>
  <c r="K31" i="10"/>
  <c r="K32" i="10" s="1"/>
  <c r="AF16" i="30"/>
  <c r="AF17" i="30"/>
  <c r="AF18" i="30"/>
  <c r="AF19" i="30"/>
  <c r="AF20" i="30"/>
  <c r="AF21" i="30"/>
  <c r="AF22" i="30"/>
  <c r="AF23" i="30"/>
  <c r="J10" i="30"/>
  <c r="AF15" i="30"/>
  <c r="AF24" i="30"/>
  <c r="AF26" i="30"/>
  <c r="K12" i="30"/>
  <c r="K32" i="30" s="1"/>
  <c r="K33" i="30" s="1"/>
  <c r="K12" i="14"/>
  <c r="K32" i="14" s="1"/>
  <c r="K33" i="14" s="1"/>
  <c r="K20" i="6"/>
  <c r="K12" i="17"/>
  <c r="K32" i="17" s="1"/>
  <c r="K33" i="17" s="1"/>
  <c r="K16" i="6"/>
  <c r="AH28" i="30"/>
  <c r="L29" i="30"/>
  <c r="L30" i="30"/>
  <c r="M30" i="30"/>
  <c r="AO28" i="30"/>
  <c r="L18" i="6"/>
  <c r="L20" i="6" s="1"/>
  <c r="AP28" i="30"/>
  <c r="L23" i="28"/>
  <c r="L26" i="28"/>
  <c r="X28" i="17"/>
  <c r="P28" i="3"/>
  <c r="P29" i="3" s="1"/>
  <c r="Q17" i="3"/>
  <c r="AE28" i="30"/>
  <c r="P19" i="2"/>
  <c r="O25" i="2"/>
  <c r="O26" i="2" s="1"/>
  <c r="O21" i="11"/>
  <c r="O26" i="11" s="1"/>
  <c r="O28" i="11" s="1"/>
  <c r="M40" i="12"/>
  <c r="M24" i="6"/>
  <c r="E10" i="5"/>
  <c r="E14" i="5"/>
  <c r="E25" i="5"/>
  <c r="M29" i="10"/>
  <c r="M31" i="10"/>
  <c r="M32" i="10" s="1"/>
  <c r="P14" i="12"/>
  <c r="P17" i="12" s="1"/>
  <c r="Q26" i="28"/>
  <c r="M28" i="20"/>
  <c r="M29" i="20" s="1"/>
  <c r="M26" i="20"/>
  <c r="AE19" i="30"/>
  <c r="AE22" i="30"/>
  <c r="AE21" i="30"/>
  <c r="M21" i="21"/>
  <c r="M23" i="21" s="1"/>
  <c r="M25" i="21" s="1"/>
  <c r="AG16" i="30"/>
  <c r="AG15" i="30"/>
  <c r="K10" i="30"/>
  <c r="F10" i="5"/>
  <c r="F14" i="5"/>
  <c r="K29" i="17"/>
  <c r="O29" i="3"/>
  <c r="M10" i="14"/>
  <c r="M29" i="14"/>
  <c r="M33" i="14"/>
  <c r="N31" i="11"/>
  <c r="N32" i="11" s="1"/>
  <c r="N29" i="30" l="1"/>
  <c r="N30" i="30"/>
  <c r="N18" i="6"/>
  <c r="L40" i="12"/>
  <c r="L24" i="6"/>
  <c r="P15" i="30"/>
  <c r="O28" i="30"/>
  <c r="X22" i="4"/>
  <c r="K23" i="4"/>
  <c r="L20" i="4" s="1"/>
  <c r="K25" i="4"/>
  <c r="K28" i="4" s="1"/>
  <c r="K29" i="4" s="1"/>
  <c r="J7" i="30"/>
  <c r="AF7" i="30" s="1"/>
  <c r="AM7" i="30" s="1"/>
  <c r="J7" i="15"/>
  <c r="J7" i="11"/>
  <c r="J7" i="3"/>
  <c r="W7" i="3" s="1"/>
  <c r="J7" i="2"/>
  <c r="J7" i="17"/>
  <c r="W7" i="17" s="1"/>
  <c r="J7" i="4"/>
  <c r="W7" i="4" s="1"/>
  <c r="J7" i="1"/>
  <c r="D7" i="5" s="1"/>
  <c r="I7" i="6"/>
  <c r="J7" i="10"/>
  <c r="J7" i="14"/>
  <c r="W7" i="14" s="1"/>
  <c r="Q19" i="2"/>
  <c r="P25" i="2"/>
  <c r="P21" i="11"/>
  <c r="P26" i="11" s="1"/>
  <c r="P28" i="11" s="1"/>
  <c r="K40" i="12"/>
  <c r="K24" i="6"/>
  <c r="I40" i="12"/>
  <c r="I24" i="6"/>
  <c r="K6" i="15"/>
  <c r="K6" i="30"/>
  <c r="AG6" i="30" s="1"/>
  <c r="AN6" i="30" s="1"/>
  <c r="K6" i="17"/>
  <c r="X6" i="17" s="1"/>
  <c r="K6" i="2"/>
  <c r="K6" i="4"/>
  <c r="X6" i="4" s="1"/>
  <c r="K6" i="11"/>
  <c r="J6" i="6"/>
  <c r="K6" i="14"/>
  <c r="X6" i="14" s="1"/>
  <c r="K6" i="1"/>
  <c r="E6" i="5" s="1"/>
  <c r="K6" i="10"/>
  <c r="K6" i="3"/>
  <c r="X6" i="3" s="1"/>
  <c r="O10" i="17"/>
  <c r="O28" i="17"/>
  <c r="R26" i="28"/>
  <c r="R28" i="1"/>
  <c r="R9" i="6" s="1"/>
  <c r="Q9" i="6"/>
  <c r="Q16" i="2"/>
  <c r="O28" i="10"/>
  <c r="O12" i="6" s="1"/>
  <c r="K23" i="26"/>
  <c r="K25" i="26" s="1"/>
  <c r="K20" i="21"/>
  <c r="K21" i="21" s="1"/>
  <c r="K23" i="21" s="1"/>
  <c r="K25" i="21" s="1"/>
  <c r="M41" i="12"/>
  <c r="M28" i="6"/>
  <c r="P30" i="14"/>
  <c r="Q28" i="14"/>
  <c r="O22" i="28"/>
  <c r="O28" i="28"/>
  <c r="O25" i="28"/>
  <c r="J40" i="12"/>
  <c r="J24" i="6"/>
  <c r="Q14" i="12"/>
  <c r="Q17" i="12" s="1"/>
  <c r="O29" i="11"/>
  <c r="O28" i="2"/>
  <c r="O29" i="2" s="1"/>
  <c r="B32" i="12"/>
  <c r="R8" i="12"/>
  <c r="B33" i="12" s="1"/>
  <c r="T54" i="29"/>
  <c r="S11" i="29"/>
  <c r="S12" i="29" s="1"/>
  <c r="L23" i="26"/>
  <c r="L25" i="26" s="1"/>
  <c r="L20" i="21"/>
  <c r="L21" i="21" s="1"/>
  <c r="L23" i="21" s="1"/>
  <c r="L25" i="21" s="1"/>
  <c r="O10" i="30"/>
  <c r="O17" i="30"/>
  <c r="Q7" i="29"/>
  <c r="C27" i="29"/>
  <c r="P18" i="29"/>
  <c r="I13" i="5"/>
  <c r="I10" i="5"/>
  <c r="Q28" i="3"/>
  <c r="Q29" i="3" s="1"/>
  <c r="R17" i="3"/>
  <c r="R28" i="3" s="1"/>
  <c r="R29" i="3" s="1"/>
  <c r="P23" i="24"/>
  <c r="P28" i="24" s="1"/>
  <c r="P14" i="20" s="1"/>
  <c r="P9" i="28"/>
  <c r="P21" i="22"/>
  <c r="P28" i="22" s="1"/>
  <c r="P12" i="20" s="1"/>
  <c r="P9" i="20"/>
  <c r="J9" i="5"/>
  <c r="P9" i="30"/>
  <c r="P9" i="17"/>
  <c r="P9" i="11"/>
  <c r="P31" i="11" s="1"/>
  <c r="P32" i="11" s="1"/>
  <c r="P9" i="10"/>
  <c r="P10" i="6"/>
  <c r="P9" i="14"/>
  <c r="P10" i="14" s="1"/>
  <c r="R13" i="11"/>
  <c r="R18" i="11" s="1"/>
  <c r="R15" i="2"/>
  <c r="N29" i="17"/>
  <c r="N30" i="17"/>
  <c r="Q7" i="30"/>
  <c r="AA7" i="30" s="1"/>
  <c r="Q7" i="15"/>
  <c r="Q7" i="17"/>
  <c r="AD7" i="17" s="1"/>
  <c r="Q7" i="2"/>
  <c r="R7" i="6"/>
  <c r="Q7" i="14"/>
  <c r="AD7" i="14" s="1"/>
  <c r="Q7" i="4"/>
  <c r="AD7" i="4" s="1"/>
  <c r="Q7" i="11"/>
  <c r="Q7" i="1"/>
  <c r="K7" i="5" s="1"/>
  <c r="Q7" i="10"/>
  <c r="Q7" i="3"/>
  <c r="AD7" i="3" s="1"/>
  <c r="I23" i="5"/>
  <c r="H27" i="5"/>
  <c r="N21" i="25"/>
  <c r="N28" i="25" s="1"/>
  <c r="N17" i="20" s="1"/>
  <c r="N21" i="23"/>
  <c r="N28" i="23" s="1"/>
  <c r="N13" i="20" s="1"/>
  <c r="N19" i="21"/>
  <c r="N13" i="6"/>
  <c r="N15" i="6"/>
  <c r="Q27" i="15"/>
  <c r="B18" i="7"/>
  <c r="P26" i="2" l="1"/>
  <c r="P28" i="2"/>
  <c r="P29" i="2" s="1"/>
  <c r="Q21" i="11"/>
  <c r="Q26" i="11" s="1"/>
  <c r="Q28" i="11" s="1"/>
  <c r="R19" i="2"/>
  <c r="Q25" i="2"/>
  <c r="O29" i="30"/>
  <c r="O18" i="6"/>
  <c r="O30" i="30"/>
  <c r="N12" i="30"/>
  <c r="N32" i="30" s="1"/>
  <c r="N33" i="30" s="1"/>
  <c r="N12" i="17"/>
  <c r="N32" i="17" s="1"/>
  <c r="N33" i="17" s="1"/>
  <c r="N16" i="6"/>
  <c r="N12" i="14"/>
  <c r="N32" i="14" s="1"/>
  <c r="N33" i="14" s="1"/>
  <c r="N20" i="6"/>
  <c r="J41" i="12"/>
  <c r="J28" i="6"/>
  <c r="M30" i="6"/>
  <c r="M32" i="6"/>
  <c r="Q21" i="22"/>
  <c r="Q28" i="22" s="1"/>
  <c r="Q12" i="20" s="1"/>
  <c r="Q23" i="24"/>
  <c r="Q28" i="24" s="1"/>
  <c r="Q14" i="20" s="1"/>
  <c r="Q9" i="28"/>
  <c r="Q9" i="20"/>
  <c r="Q9" i="30"/>
  <c r="K9" i="5"/>
  <c r="Q9" i="17"/>
  <c r="Q9" i="14"/>
  <c r="Q10" i="14" s="1"/>
  <c r="Q10" i="6"/>
  <c r="Q9" i="11"/>
  <c r="Q31" i="11" s="1"/>
  <c r="Q32" i="11" s="1"/>
  <c r="Q9" i="10"/>
  <c r="Q15" i="30"/>
  <c r="R14" i="12"/>
  <c r="T11" i="29"/>
  <c r="T12" i="29" s="1"/>
  <c r="U54" i="29"/>
  <c r="R21" i="22"/>
  <c r="R28" i="22" s="1"/>
  <c r="R12" i="20" s="1"/>
  <c r="L9" i="5"/>
  <c r="R9" i="20"/>
  <c r="R9" i="28"/>
  <c r="R25" i="28" s="1"/>
  <c r="R9" i="30"/>
  <c r="R23" i="24"/>
  <c r="R28" i="24" s="1"/>
  <c r="R14" i="20" s="1"/>
  <c r="R9" i="14"/>
  <c r="R10" i="14" s="1"/>
  <c r="R9" i="10"/>
  <c r="R9" i="17"/>
  <c r="R9" i="11"/>
  <c r="R10" i="6"/>
  <c r="I41" i="12"/>
  <c r="I28" i="6"/>
  <c r="Q18" i="29"/>
  <c r="R7" i="29"/>
  <c r="C28" i="29"/>
  <c r="P28" i="17"/>
  <c r="P10" i="17"/>
  <c r="K41" i="12"/>
  <c r="K28" i="6"/>
  <c r="I7" i="30"/>
  <c r="AE7" i="30" s="1"/>
  <c r="AL7" i="30" s="1"/>
  <c r="I7" i="15"/>
  <c r="I7" i="17"/>
  <c r="V7" i="17" s="1"/>
  <c r="I7" i="2"/>
  <c r="I7" i="4"/>
  <c r="V7" i="4" s="1"/>
  <c r="I7" i="1"/>
  <c r="C7" i="5" s="1"/>
  <c r="I7" i="10"/>
  <c r="I7" i="14"/>
  <c r="V7" i="14" s="1"/>
  <c r="I7" i="11"/>
  <c r="I7" i="3"/>
  <c r="V7" i="3" s="1"/>
  <c r="N23" i="26"/>
  <c r="N28" i="26" s="1"/>
  <c r="N18" i="20" s="1"/>
  <c r="N20" i="21"/>
  <c r="L41" i="12"/>
  <c r="L28" i="6"/>
  <c r="N20" i="20"/>
  <c r="O21" i="23"/>
  <c r="O28" i="23" s="1"/>
  <c r="O13" i="20" s="1"/>
  <c r="O21" i="25"/>
  <c r="O28" i="25" s="1"/>
  <c r="O17" i="20" s="1"/>
  <c r="O19" i="21"/>
  <c r="O13" i="6"/>
  <c r="O15" i="6"/>
  <c r="O30" i="17"/>
  <c r="O29" i="17"/>
  <c r="J23" i="5"/>
  <c r="I27" i="5"/>
  <c r="P29" i="14"/>
  <c r="P28" i="10"/>
  <c r="P12" i="6" s="1"/>
  <c r="N21" i="21"/>
  <c r="N23" i="21" s="1"/>
  <c r="N28" i="21" s="1"/>
  <c r="P22" i="28"/>
  <c r="P28" i="28"/>
  <c r="P25" i="28"/>
  <c r="J6" i="15"/>
  <c r="J6" i="30"/>
  <c r="AF6" i="30" s="1"/>
  <c r="AM6" i="30" s="1"/>
  <c r="J6" i="14"/>
  <c r="W6" i="14" s="1"/>
  <c r="J6" i="17"/>
  <c r="W6" i="17" s="1"/>
  <c r="J6" i="4"/>
  <c r="W6" i="4" s="1"/>
  <c r="J6" i="11"/>
  <c r="J6" i="1"/>
  <c r="D6" i="5" s="1"/>
  <c r="I6" i="6"/>
  <c r="J6" i="10"/>
  <c r="J6" i="3"/>
  <c r="W6" i="3" s="1"/>
  <c r="J6" i="2"/>
  <c r="R16" i="2"/>
  <c r="P10" i="30"/>
  <c r="P17" i="30"/>
  <c r="P28" i="30" s="1"/>
  <c r="R27" i="15"/>
  <c r="B19" i="7"/>
  <c r="N20" i="12"/>
  <c r="N23" i="12" s="1"/>
  <c r="N15" i="29"/>
  <c r="R7" i="30"/>
  <c r="AB7" i="30" s="1"/>
  <c r="R7" i="15"/>
  <c r="R7" i="11"/>
  <c r="R7" i="3"/>
  <c r="AE7" i="3" s="1"/>
  <c r="R7" i="2"/>
  <c r="R7" i="10"/>
  <c r="R7" i="14"/>
  <c r="AE7" i="14" s="1"/>
  <c r="R7" i="4"/>
  <c r="AE7" i="4" s="1"/>
  <c r="R7" i="1"/>
  <c r="L7" i="5" s="1"/>
  <c r="R7" i="17"/>
  <c r="AE7" i="17" s="1"/>
  <c r="J13" i="5"/>
  <c r="J10" i="5"/>
  <c r="R28" i="14"/>
  <c r="Q30" i="14"/>
  <c r="O31" i="10"/>
  <c r="O32" i="10" s="1"/>
  <c r="P29" i="11"/>
  <c r="Y22" i="4"/>
  <c r="L23" i="4"/>
  <c r="M20" i="4" s="1"/>
  <c r="L25" i="4"/>
  <c r="L28" i="4" s="1"/>
  <c r="L29" i="4" s="1"/>
  <c r="P29" i="30" l="1"/>
  <c r="P30" i="30"/>
  <c r="P18" i="6"/>
  <c r="K30" i="6"/>
  <c r="K32" i="6"/>
  <c r="I6" i="17"/>
  <c r="V6" i="17" s="1"/>
  <c r="I6" i="11"/>
  <c r="I6" i="15"/>
  <c r="I6" i="30"/>
  <c r="AE6" i="30" s="1"/>
  <c r="AL6" i="30" s="1"/>
  <c r="I6" i="14"/>
  <c r="V6" i="14" s="1"/>
  <c r="I6" i="1"/>
  <c r="C6" i="5" s="1"/>
  <c r="I6" i="10"/>
  <c r="I6" i="3"/>
  <c r="V6" i="3" s="1"/>
  <c r="I6" i="2"/>
  <c r="I6" i="4"/>
  <c r="V6" i="4" s="1"/>
  <c r="Q28" i="28"/>
  <c r="Q22" i="28"/>
  <c r="Q25" i="28"/>
  <c r="N11" i="20"/>
  <c r="N15" i="20" s="1"/>
  <c r="N22" i="20" s="1"/>
  <c r="N32" i="21"/>
  <c r="N33" i="21"/>
  <c r="O33" i="21"/>
  <c r="O12" i="30"/>
  <c r="O32" i="30" s="1"/>
  <c r="O33" i="30" s="1"/>
  <c r="O12" i="14"/>
  <c r="O32" i="14" s="1"/>
  <c r="O33" i="14" s="1"/>
  <c r="O12" i="17"/>
  <c r="O32" i="17" s="1"/>
  <c r="O33" i="17" s="1"/>
  <c r="O16" i="6"/>
  <c r="O20" i="6"/>
  <c r="R15" i="30"/>
  <c r="R28" i="30" s="1"/>
  <c r="K10" i="5"/>
  <c r="K13" i="5"/>
  <c r="Q29" i="11"/>
  <c r="N26" i="12"/>
  <c r="N29" i="12" s="1"/>
  <c r="R30" i="14"/>
  <c r="R29" i="14"/>
  <c r="O15" i="29"/>
  <c r="O20" i="12"/>
  <c r="O23" i="12" s="1"/>
  <c r="Z22" i="4"/>
  <c r="M23" i="4"/>
  <c r="N20" i="4" s="1"/>
  <c r="R28" i="28"/>
  <c r="R22" i="28"/>
  <c r="Q26" i="2"/>
  <c r="Q28" i="2"/>
  <c r="Q29" i="2" s="1"/>
  <c r="Q10" i="17"/>
  <c r="Q28" i="17"/>
  <c r="R25" i="2"/>
  <c r="R21" i="11"/>
  <c r="R26" i="11" s="1"/>
  <c r="R28" i="11" s="1"/>
  <c r="R29" i="11" s="1"/>
  <c r="P21" i="23"/>
  <c r="P28" i="23" s="1"/>
  <c r="P13" i="20" s="1"/>
  <c r="P21" i="25"/>
  <c r="P28" i="25" s="1"/>
  <c r="P17" i="20" s="1"/>
  <c r="P19" i="21"/>
  <c r="P13" i="6"/>
  <c r="P15" i="6"/>
  <c r="R10" i="17"/>
  <c r="R28" i="17"/>
  <c r="L10" i="5"/>
  <c r="L13" i="5"/>
  <c r="Q10" i="30"/>
  <c r="Q17" i="30"/>
  <c r="Q28" i="30" s="1"/>
  <c r="I30" i="6"/>
  <c r="I32" i="6" s="1"/>
  <c r="U11" i="29"/>
  <c r="U12" i="29" s="1"/>
  <c r="V54" i="29"/>
  <c r="O23" i="26"/>
  <c r="O28" i="26" s="1"/>
  <c r="O18" i="20" s="1"/>
  <c r="O20" i="20" s="1"/>
  <c r="O20" i="21"/>
  <c r="J27" i="5"/>
  <c r="K23" i="5"/>
  <c r="R10" i="30"/>
  <c r="R17" i="30"/>
  <c r="L30" i="6"/>
  <c r="L32" i="6"/>
  <c r="P30" i="17"/>
  <c r="P29" i="17"/>
  <c r="R17" i="12"/>
  <c r="R16" i="12"/>
  <c r="Q29" i="14"/>
  <c r="N19" i="29"/>
  <c r="N20" i="29" s="1"/>
  <c r="D25" i="29" s="1"/>
  <c r="P31" i="10"/>
  <c r="P32" i="10" s="1"/>
  <c r="O21" i="21"/>
  <c r="O23" i="21" s="1"/>
  <c r="O28" i="21" s="1"/>
  <c r="R18" i="29"/>
  <c r="C29" i="29"/>
  <c r="S7" i="29"/>
  <c r="R28" i="10"/>
  <c r="R12" i="6" s="1"/>
  <c r="Q28" i="10"/>
  <c r="Q12" i="6" s="1"/>
  <c r="J30" i="6"/>
  <c r="J32" i="6" s="1"/>
  <c r="N34" i="12" l="1"/>
  <c r="N36" i="12" s="1"/>
  <c r="O29" i="12"/>
  <c r="N25" i="29"/>
  <c r="N46" i="29" s="1"/>
  <c r="N48" i="29" s="1"/>
  <c r="N22" i="6" s="1"/>
  <c r="N24" i="6" s="1"/>
  <c r="V25" i="29"/>
  <c r="O25" i="29"/>
  <c r="P25" i="29"/>
  <c r="Q25" i="29"/>
  <c r="R25" i="29"/>
  <c r="T25" i="29"/>
  <c r="U25" i="29"/>
  <c r="S25" i="29"/>
  <c r="W25" i="29"/>
  <c r="Q29" i="30"/>
  <c r="Q30" i="30"/>
  <c r="Q18" i="6"/>
  <c r="O19" i="29"/>
  <c r="O20" i="29" s="1"/>
  <c r="D26" i="29" s="1"/>
  <c r="P20" i="12"/>
  <c r="P23" i="12" s="1"/>
  <c r="P15" i="29"/>
  <c r="R30" i="30"/>
  <c r="R29" i="30"/>
  <c r="R18" i="6"/>
  <c r="L23" i="5"/>
  <c r="L27" i="5" s="1"/>
  <c r="K27" i="5"/>
  <c r="O11" i="20"/>
  <c r="O15" i="20" s="1"/>
  <c r="O22" i="20" s="1"/>
  <c r="O32" i="21"/>
  <c r="Q21" i="25"/>
  <c r="Q28" i="25" s="1"/>
  <c r="Q17" i="20" s="1"/>
  <c r="Q19" i="21"/>
  <c r="Q21" i="23"/>
  <c r="Q28" i="23" s="1"/>
  <c r="Q13" i="20" s="1"/>
  <c r="Q13" i="6"/>
  <c r="Q15" i="6"/>
  <c r="N22" i="4"/>
  <c r="N23" i="4"/>
  <c r="O20" i="4" s="1"/>
  <c r="Q31" i="10"/>
  <c r="Q32" i="10" s="1"/>
  <c r="V11" i="29"/>
  <c r="V12" i="29" s="1"/>
  <c r="W54" i="29"/>
  <c r="R26" i="2"/>
  <c r="R28" i="2"/>
  <c r="R29" i="2" s="1"/>
  <c r="R19" i="21"/>
  <c r="R21" i="23"/>
  <c r="R28" i="23" s="1"/>
  <c r="R13" i="20" s="1"/>
  <c r="R21" i="25"/>
  <c r="R28" i="25" s="1"/>
  <c r="R17" i="20" s="1"/>
  <c r="R13" i="6"/>
  <c r="R15" i="6"/>
  <c r="Q29" i="17"/>
  <c r="Q30" i="17"/>
  <c r="R31" i="10"/>
  <c r="R32" i="10" s="1"/>
  <c r="N23" i="20"/>
  <c r="N28" i="20"/>
  <c r="N29" i="20" s="1"/>
  <c r="R30" i="17"/>
  <c r="R29" i="17"/>
  <c r="R31" i="11"/>
  <c r="R32" i="11" s="1"/>
  <c r="M25" i="4"/>
  <c r="M28" i="4" s="1"/>
  <c r="M29" i="4" s="1"/>
  <c r="P23" i="26"/>
  <c r="P28" i="26" s="1"/>
  <c r="P18" i="20" s="1"/>
  <c r="P20" i="20" s="1"/>
  <c r="P20" i="21"/>
  <c r="P21" i="21" s="1"/>
  <c r="P23" i="21" s="1"/>
  <c r="P28" i="21" s="1"/>
  <c r="P12" i="30"/>
  <c r="P32" i="30" s="1"/>
  <c r="P33" i="30" s="1"/>
  <c r="P12" i="17"/>
  <c r="P32" i="17" s="1"/>
  <c r="P33" i="17" s="1"/>
  <c r="P16" i="6"/>
  <c r="P12" i="14"/>
  <c r="P32" i="14" s="1"/>
  <c r="P33" i="14" s="1"/>
  <c r="P20" i="6"/>
  <c r="T7" i="29"/>
  <c r="C30" i="29"/>
  <c r="S18" i="29"/>
  <c r="O30" i="12"/>
  <c r="P30" i="12" s="1"/>
  <c r="Q30" i="12" s="1"/>
  <c r="R30" i="12" s="1"/>
  <c r="O26" i="12"/>
  <c r="Q26" i="29" l="1"/>
  <c r="U26" i="29"/>
  <c r="V26" i="29"/>
  <c r="W26" i="29"/>
  <c r="O26" i="29"/>
  <c r="X26" i="29"/>
  <c r="R26" i="29"/>
  <c r="P26" i="29"/>
  <c r="S26" i="29"/>
  <c r="T26" i="29"/>
  <c r="P11" i="20"/>
  <c r="P15" i="20" s="1"/>
  <c r="P22" i="20" s="1"/>
  <c r="P32" i="21"/>
  <c r="P33" i="21"/>
  <c r="O25" i="4"/>
  <c r="O28" i="4" s="1"/>
  <c r="O29" i="4" s="1"/>
  <c r="O22" i="4"/>
  <c r="O23" i="4"/>
  <c r="P20" i="4" s="1"/>
  <c r="Q20" i="12"/>
  <c r="Q23" i="12" s="1"/>
  <c r="Q15" i="29"/>
  <c r="P26" i="12"/>
  <c r="P31" i="12" s="1"/>
  <c r="Q31" i="12" s="1"/>
  <c r="R31" i="12" s="1"/>
  <c r="N25" i="4"/>
  <c r="N28" i="4" s="1"/>
  <c r="N29" i="4" s="1"/>
  <c r="P19" i="29"/>
  <c r="P20" i="29" s="1"/>
  <c r="D27" i="29" s="1"/>
  <c r="X54" i="29"/>
  <c r="W11" i="29"/>
  <c r="W12" i="29" s="1"/>
  <c r="R20" i="12"/>
  <c r="R23" i="12" s="1"/>
  <c r="R15" i="29"/>
  <c r="R23" i="26"/>
  <c r="R28" i="26" s="1"/>
  <c r="R18" i="20" s="1"/>
  <c r="R20" i="20" s="1"/>
  <c r="R20" i="21"/>
  <c r="R21" i="21" s="1"/>
  <c r="R23" i="21" s="1"/>
  <c r="R28" i="21" s="1"/>
  <c r="O28" i="20"/>
  <c r="O29" i="20" s="1"/>
  <c r="O23" i="20"/>
  <c r="R12" i="30"/>
  <c r="R32" i="30" s="1"/>
  <c r="R33" i="30" s="1"/>
  <c r="R12" i="17"/>
  <c r="R32" i="17" s="1"/>
  <c r="R33" i="17" s="1"/>
  <c r="R20" i="6"/>
  <c r="R12" i="14"/>
  <c r="R32" i="14" s="1"/>
  <c r="R33" i="14" s="1"/>
  <c r="R16" i="6"/>
  <c r="O34" i="12"/>
  <c r="O36" i="12" s="1"/>
  <c r="P29" i="12"/>
  <c r="C31" i="29"/>
  <c r="T18" i="29"/>
  <c r="U7" i="29"/>
  <c r="O46" i="29"/>
  <c r="O48" i="29" s="1"/>
  <c r="O22" i="6" s="1"/>
  <c r="O24" i="6" s="1"/>
  <c r="Q12" i="17"/>
  <c r="Q32" i="17" s="1"/>
  <c r="Q33" i="17" s="1"/>
  <c r="Q12" i="30"/>
  <c r="Q32" i="30" s="1"/>
  <c r="Q33" i="30" s="1"/>
  <c r="Q12" i="14"/>
  <c r="Q32" i="14" s="1"/>
  <c r="Q33" i="14" s="1"/>
  <c r="Q20" i="6"/>
  <c r="Q16" i="6"/>
  <c r="Q20" i="20"/>
  <c r="Q23" i="26"/>
  <c r="Q28" i="26" s="1"/>
  <c r="Q18" i="20" s="1"/>
  <c r="Q20" i="21"/>
  <c r="Q21" i="21" s="1"/>
  <c r="Q23" i="21" s="1"/>
  <c r="Q28" i="21" s="1"/>
  <c r="N40" i="12"/>
  <c r="N24" i="15"/>
  <c r="U27" i="29" l="1"/>
  <c r="S27" i="29"/>
  <c r="T27" i="29"/>
  <c r="V27" i="29"/>
  <c r="W27" i="29"/>
  <c r="P27" i="29"/>
  <c r="P46" i="29" s="1"/>
  <c r="P48" i="29" s="1"/>
  <c r="P22" i="6" s="1"/>
  <c r="P24" i="6" s="1"/>
  <c r="Y27" i="29"/>
  <c r="Q27" i="29"/>
  <c r="R27" i="29"/>
  <c r="X27" i="29"/>
  <c r="AA27" i="29"/>
  <c r="Z27" i="29"/>
  <c r="Q11" i="20"/>
  <c r="Q15" i="20" s="1"/>
  <c r="Q22" i="20" s="1"/>
  <c r="Q32" i="21"/>
  <c r="R33" i="21"/>
  <c r="Q33" i="21"/>
  <c r="R11" i="20"/>
  <c r="R15" i="20" s="1"/>
  <c r="R22" i="20" s="1"/>
  <c r="R32" i="21"/>
  <c r="X11" i="29"/>
  <c r="X12" i="29" s="1"/>
  <c r="Y54" i="29"/>
  <c r="X25" i="29"/>
  <c r="O23" i="15"/>
  <c r="N25" i="15"/>
  <c r="N28" i="15" s="1"/>
  <c r="N26" i="6" s="1"/>
  <c r="P23" i="20"/>
  <c r="P28" i="20"/>
  <c r="P29" i="20" s="1"/>
  <c r="P34" i="12"/>
  <c r="P36" i="12" s="1"/>
  <c r="Q29" i="12"/>
  <c r="O40" i="12"/>
  <c r="O24" i="15"/>
  <c r="P23" i="15" s="1"/>
  <c r="Q26" i="12"/>
  <c r="Q32" i="12"/>
  <c r="R32" i="12" s="1"/>
  <c r="Q19" i="29"/>
  <c r="Q20" i="29" s="1"/>
  <c r="D28" i="29" s="1"/>
  <c r="U18" i="29"/>
  <c r="C32" i="29"/>
  <c r="V7" i="29"/>
  <c r="S15" i="29"/>
  <c r="R19" i="29"/>
  <c r="R20" i="29" s="1"/>
  <c r="D29" i="29" s="1"/>
  <c r="P23" i="4"/>
  <c r="Q20" i="4" s="1"/>
  <c r="P25" i="4"/>
  <c r="P28" i="4" s="1"/>
  <c r="P29" i="4" s="1"/>
  <c r="P22" i="4"/>
  <c r="Y26" i="29"/>
  <c r="R26" i="12"/>
  <c r="R33" i="12"/>
  <c r="X29" i="29" l="1"/>
  <c r="S29" i="29"/>
  <c r="AB29" i="29"/>
  <c r="T29" i="29"/>
  <c r="AC29" i="29"/>
  <c r="U29" i="29"/>
  <c r="AD29" i="29"/>
  <c r="V29" i="29"/>
  <c r="Y29" i="29"/>
  <c r="Z29" i="29"/>
  <c r="AA29" i="29"/>
  <c r="R29" i="29"/>
  <c r="W29" i="29"/>
  <c r="R28" i="29"/>
  <c r="Z28" i="29"/>
  <c r="S28" i="29"/>
  <c r="AB28" i="29"/>
  <c r="T28" i="29"/>
  <c r="U28" i="29"/>
  <c r="V28" i="29"/>
  <c r="X28" i="29"/>
  <c r="Q28" i="29"/>
  <c r="Q46" i="29" s="1"/>
  <c r="Q48" i="29" s="1"/>
  <c r="Q22" i="6" s="1"/>
  <c r="Q24" i="6" s="1"/>
  <c r="W28" i="29"/>
  <c r="Y28" i="29"/>
  <c r="AA28" i="29"/>
  <c r="T15" i="29"/>
  <c r="S19" i="29"/>
  <c r="S20" i="29" s="1"/>
  <c r="D30" i="29" s="1"/>
  <c r="P25" i="15"/>
  <c r="P28" i="15" s="1"/>
  <c r="P26" i="6" s="1"/>
  <c r="P28" i="6" s="1"/>
  <c r="W7" i="29"/>
  <c r="V18" i="29"/>
  <c r="C33" i="29"/>
  <c r="N41" i="12"/>
  <c r="N28" i="6"/>
  <c r="O25" i="15"/>
  <c r="O28" i="15" s="1"/>
  <c r="O26" i="6" s="1"/>
  <c r="R29" i="12"/>
  <c r="R34" i="12" s="1"/>
  <c r="R36" i="12" s="1"/>
  <c r="Q34" i="12"/>
  <c r="Q36" i="12" s="1"/>
  <c r="Z54" i="29"/>
  <c r="AC28" i="29" s="1"/>
  <c r="Y11" i="29"/>
  <c r="Y12" i="29" s="1"/>
  <c r="Y25" i="29"/>
  <c r="Z26" i="29"/>
  <c r="Q22" i="4"/>
  <c r="Q23" i="4"/>
  <c r="R20" i="4" s="1"/>
  <c r="Q25" i="4"/>
  <c r="Q28" i="4" s="1"/>
  <c r="Q29" i="4" s="1"/>
  <c r="P40" i="12"/>
  <c r="P24" i="15"/>
  <c r="Q23" i="15" s="1"/>
  <c r="Q28" i="20"/>
  <c r="Q29" i="20" s="1"/>
  <c r="Q23" i="20"/>
  <c r="R28" i="20"/>
  <c r="R29" i="20" s="1"/>
  <c r="R23" i="20"/>
  <c r="P30" i="6" l="1"/>
  <c r="P32" i="6" s="1"/>
  <c r="W30" i="29"/>
  <c r="AE30" i="29"/>
  <c r="T30" i="29"/>
  <c r="AC30" i="29"/>
  <c r="U30" i="29"/>
  <c r="AD30" i="29"/>
  <c r="V30" i="29"/>
  <c r="X30" i="29"/>
  <c r="Z30" i="29"/>
  <c r="Y30" i="29"/>
  <c r="AA30" i="29"/>
  <c r="AB30" i="29"/>
  <c r="S30" i="29"/>
  <c r="S46" i="29" s="1"/>
  <c r="S48" i="29" s="1"/>
  <c r="O28" i="6"/>
  <c r="O41" i="12"/>
  <c r="N30" i="6"/>
  <c r="N32" i="6"/>
  <c r="Q40" i="12"/>
  <c r="Q24" i="15"/>
  <c r="R23" i="15" s="1"/>
  <c r="R40" i="12"/>
  <c r="R24" i="15"/>
  <c r="Q25" i="15"/>
  <c r="Q28" i="15" s="1"/>
  <c r="Q26" i="6" s="1"/>
  <c r="Q41" i="12" s="1"/>
  <c r="Z11" i="29"/>
  <c r="Z12" i="29" s="1"/>
  <c r="AA54" i="29"/>
  <c r="AF30" i="29" s="1"/>
  <c r="Z25" i="29"/>
  <c r="AA26" i="29"/>
  <c r="AB27" i="29"/>
  <c r="R22" i="4"/>
  <c r="R23" i="4" s="1"/>
  <c r="R25" i="4" s="1"/>
  <c r="R28" i="4" s="1"/>
  <c r="R29" i="4" s="1"/>
  <c r="P41" i="12"/>
  <c r="U15" i="29"/>
  <c r="T19" i="29"/>
  <c r="T20" i="29" s="1"/>
  <c r="D31" i="29" s="1"/>
  <c r="X7" i="29"/>
  <c r="C34" i="29"/>
  <c r="C35" i="29" s="1"/>
  <c r="C36" i="29" s="1"/>
  <c r="C37" i="29" s="1"/>
  <c r="C38" i="29" s="1"/>
  <c r="C39" i="29" s="1"/>
  <c r="C40" i="29" s="1"/>
  <c r="C41" i="29" s="1"/>
  <c r="C42" i="29" s="1"/>
  <c r="C43" i="29" s="1"/>
  <c r="C44" i="29" s="1"/>
  <c r="W18" i="29"/>
  <c r="R46" i="29"/>
  <c r="R48" i="29" s="1"/>
  <c r="R22" i="6" s="1"/>
  <c r="R24" i="6" s="1"/>
  <c r="W31" i="29" l="1"/>
  <c r="AE31" i="29"/>
  <c r="V31" i="29"/>
  <c r="AF31" i="29"/>
  <c r="X31" i="29"/>
  <c r="AG31" i="29"/>
  <c r="Y31" i="29"/>
  <c r="Z31" i="29"/>
  <c r="AB31" i="29"/>
  <c r="T31" i="29"/>
  <c r="T46" i="29" s="1"/>
  <c r="T48" i="29" s="1"/>
  <c r="U31" i="29"/>
  <c r="AA31" i="29"/>
  <c r="AD31" i="29"/>
  <c r="AC31" i="29"/>
  <c r="R25" i="15"/>
  <c r="R28" i="15" s="1"/>
  <c r="R26" i="6" s="1"/>
  <c r="R28" i="6" s="1"/>
  <c r="X18" i="29"/>
  <c r="Y7" i="29"/>
  <c r="O30" i="6"/>
  <c r="O32" i="6"/>
  <c r="U20" i="29"/>
  <c r="D32" i="29" s="1"/>
  <c r="V15" i="29"/>
  <c r="U19" i="29"/>
  <c r="AB54" i="29"/>
  <c r="AA11" i="29"/>
  <c r="AA12" i="29" s="1"/>
  <c r="AA25" i="29"/>
  <c r="AB26" i="29"/>
  <c r="AC27" i="29"/>
  <c r="AD28" i="29"/>
  <c r="AE29" i="29"/>
  <c r="Q28" i="6"/>
  <c r="R30" i="6" l="1"/>
  <c r="R32" i="6" s="1"/>
  <c r="R41" i="12"/>
  <c r="Z7" i="29"/>
  <c r="Y18" i="29"/>
  <c r="X32" i="29"/>
  <c r="AF32" i="29"/>
  <c r="Z32" i="29"/>
  <c r="AA32" i="29"/>
  <c r="AB32" i="29"/>
  <c r="AC32" i="29"/>
  <c r="V32" i="29"/>
  <c r="AE32" i="29"/>
  <c r="Y32" i="29"/>
  <c r="AD32" i="29"/>
  <c r="AG32" i="29"/>
  <c r="U32" i="29"/>
  <c r="U46" i="29" s="1"/>
  <c r="U48" i="29" s="1"/>
  <c r="W32" i="29"/>
  <c r="AC54" i="29"/>
  <c r="AB11" i="29"/>
  <c r="AB12" i="29" s="1"/>
  <c r="AB25" i="29"/>
  <c r="AC26" i="29"/>
  <c r="AD27" i="29"/>
  <c r="AF29" i="29"/>
  <c r="AE28" i="29"/>
  <c r="AG30" i="29"/>
  <c r="Q30" i="6"/>
  <c r="Q32" i="6" s="1"/>
  <c r="W15" i="29"/>
  <c r="V19" i="29"/>
  <c r="V20" i="29" s="1"/>
  <c r="D33" i="29" s="1"/>
  <c r="AC33" i="29" l="1"/>
  <c r="V33" i="29"/>
  <c r="V46" i="29" s="1"/>
  <c r="V48" i="29" s="1"/>
  <c r="AD33" i="29"/>
  <c r="W33" i="29"/>
  <c r="AE33" i="29"/>
  <c r="X33" i="29"/>
  <c r="AF33" i="29"/>
  <c r="Z33" i="29"/>
  <c r="AA33" i="29"/>
  <c r="Y33" i="29"/>
  <c r="AB33" i="29"/>
  <c r="AG33" i="29"/>
  <c r="AD54" i="29"/>
  <c r="AC11" i="29"/>
  <c r="AC12" i="29" s="1"/>
  <c r="AC25" i="29"/>
  <c r="AD26" i="29"/>
  <c r="AE27" i="29"/>
  <c r="AF28" i="29"/>
  <c r="AG29" i="29"/>
  <c r="AA7" i="29"/>
  <c r="Z18" i="29"/>
  <c r="X15" i="29"/>
  <c r="W19" i="29"/>
  <c r="W20" i="29" s="1"/>
  <c r="D34" i="29" s="1"/>
  <c r="X34" i="29" l="1"/>
  <c r="AF34" i="29"/>
  <c r="Y34" i="29"/>
  <c r="AG34" i="29"/>
  <c r="Z34" i="29"/>
  <c r="AA34" i="29"/>
  <c r="AC34" i="29"/>
  <c r="W34" i="29"/>
  <c r="W46" i="29" s="1"/>
  <c r="W48" i="29" s="1"/>
  <c r="AB34" i="29"/>
  <c r="AD34" i="29"/>
  <c r="AE34" i="29"/>
  <c r="AD11" i="29"/>
  <c r="AD12" i="29" s="1"/>
  <c r="AE54" i="29"/>
  <c r="AD25" i="29"/>
  <c r="AE26" i="29"/>
  <c r="AF27" i="29"/>
  <c r="AG28" i="29"/>
  <c r="AA18" i="29"/>
  <c r="AB7" i="29"/>
  <c r="Y15" i="29"/>
  <c r="X20" i="29"/>
  <c r="D35" i="29"/>
  <c r="X19" i="29"/>
  <c r="AB35" i="29" l="1"/>
  <c r="AC35" i="29"/>
  <c r="AD35" i="29"/>
  <c r="AE35" i="29"/>
  <c r="Y35" i="29"/>
  <c r="AG35" i="29"/>
  <c r="AF35" i="29"/>
  <c r="X35" i="29"/>
  <c r="X46" i="29" s="1"/>
  <c r="X48" i="29" s="1"/>
  <c r="Z35" i="29"/>
  <c r="AA35" i="29"/>
  <c r="AF54" i="29"/>
  <c r="AE11" i="29"/>
  <c r="AE12" i="29" s="1"/>
  <c r="AE25" i="29"/>
  <c r="AF26" i="29"/>
  <c r="AG27" i="29"/>
  <c r="Z15" i="29"/>
  <c r="D36" i="29"/>
  <c r="Y19" i="29"/>
  <c r="Y20" i="29" s="1"/>
  <c r="AB18" i="29"/>
  <c r="AC7" i="29"/>
  <c r="AF11" i="29" l="1"/>
  <c r="AF12" i="29" s="1"/>
  <c r="AG54" i="29"/>
  <c r="AF25" i="29"/>
  <c r="AG26" i="29"/>
  <c r="Y36" i="29"/>
  <c r="Y46" i="29" s="1"/>
  <c r="Y48" i="29" s="1"/>
  <c r="AG36" i="29"/>
  <c r="Z36" i="29"/>
  <c r="AA36" i="29"/>
  <c r="AB36" i="29"/>
  <c r="AD36" i="29"/>
  <c r="AC36" i="29"/>
  <c r="AF36" i="29"/>
  <c r="AE36" i="29"/>
  <c r="D37" i="29"/>
  <c r="AA15" i="29"/>
  <c r="Z19" i="29"/>
  <c r="Z20" i="29" s="1"/>
  <c r="AC18" i="29"/>
  <c r="AD7" i="29"/>
  <c r="AG11" i="29" l="1"/>
  <c r="AG12" i="29" s="1"/>
  <c r="AH54" i="29"/>
  <c r="AG25" i="29"/>
  <c r="AE7" i="29"/>
  <c r="AD18" i="29"/>
  <c r="D38" i="29"/>
  <c r="AB15" i="29"/>
  <c r="AA19" i="29"/>
  <c r="AA20" i="29" s="1"/>
  <c r="AE37" i="29"/>
  <c r="AF37" i="29"/>
  <c r="AG37" i="29"/>
  <c r="Z37" i="29"/>
  <c r="Z46" i="29" s="1"/>
  <c r="Z48" i="29" s="1"/>
  <c r="AB37" i="29"/>
  <c r="AD37" i="29"/>
  <c r="AC37" i="29"/>
  <c r="AA37" i="29"/>
  <c r="AE18" i="29" l="1"/>
  <c r="AF7" i="29"/>
  <c r="AC15" i="29"/>
  <c r="D39" i="29"/>
  <c r="AB19" i="29"/>
  <c r="AB20" i="29" s="1"/>
  <c r="AD38" i="29"/>
  <c r="AE38" i="29"/>
  <c r="AF38" i="29"/>
  <c r="AG38" i="29"/>
  <c r="AA38" i="29"/>
  <c r="AA46" i="29" s="1"/>
  <c r="AA48" i="29" s="1"/>
  <c r="AB38" i="29"/>
  <c r="AC38" i="29"/>
  <c r="AD15" i="29" l="1"/>
  <c r="D40" i="29"/>
  <c r="AC19" i="29"/>
  <c r="AC20" i="29" s="1"/>
  <c r="AF18" i="29"/>
  <c r="AG7" i="29"/>
  <c r="AG18" i="29" s="1"/>
  <c r="AD39" i="29"/>
  <c r="AE39" i="29"/>
  <c r="AF39" i="29"/>
  <c r="AG39" i="29"/>
  <c r="AB39" i="29"/>
  <c r="AB46" i="29" s="1"/>
  <c r="AB48" i="29" s="1"/>
  <c r="AC39" i="29"/>
  <c r="D41" i="29" l="1"/>
  <c r="AE15" i="29"/>
  <c r="AD19" i="29"/>
  <c r="AD20" i="29" s="1"/>
  <c r="AE40" i="29"/>
  <c r="AF40" i="29"/>
  <c r="AG40" i="29"/>
  <c r="AC40" i="29"/>
  <c r="AC46" i="29" s="1"/>
  <c r="AC48" i="29" s="1"/>
  <c r="AD40" i="29"/>
  <c r="AE20" i="29" l="1"/>
  <c r="AF15" i="29"/>
  <c r="D42" i="29"/>
  <c r="AE19" i="29"/>
  <c r="AE41" i="29"/>
  <c r="AF41" i="29"/>
  <c r="AG41" i="29"/>
  <c r="AD41" i="29"/>
  <c r="AD46" i="29" s="1"/>
  <c r="AD48" i="29" s="1"/>
  <c r="AF42" i="29" l="1"/>
  <c r="AG42" i="29"/>
  <c r="AE42" i="29"/>
  <c r="AE46" i="29" s="1"/>
  <c r="AE48" i="29" s="1"/>
  <c r="AG15" i="29"/>
  <c r="AF20" i="29"/>
  <c r="D43" i="29"/>
  <c r="AF19" i="29"/>
  <c r="AF43" i="29" l="1"/>
  <c r="AF46" i="29" s="1"/>
  <c r="AF48" i="29" s="1"/>
  <c r="AG43" i="29"/>
  <c r="AG19" i="29"/>
  <c r="AG20" i="29" s="1"/>
  <c r="D44" i="29" s="1"/>
  <c r="AG44" i="29" s="1"/>
  <c r="AG46" i="29" s="1"/>
  <c r="AG48" i="29" s="1"/>
</calcChain>
</file>

<file path=xl/sharedStrings.xml><?xml version="1.0" encoding="utf-8"?>
<sst xmlns="http://schemas.openxmlformats.org/spreadsheetml/2006/main" count="473" uniqueCount="235">
  <si>
    <t>Simplistic Model</t>
  </si>
  <si>
    <t>Historical</t>
  </si>
  <si>
    <t>Forecast</t>
  </si>
  <si>
    <t>N/A</t>
  </si>
  <si>
    <t>Revenue Growth</t>
  </si>
  <si>
    <t>Price Increase</t>
  </si>
  <si>
    <t>Store 1</t>
  </si>
  <si>
    <t>Store 2</t>
  </si>
  <si>
    <t>Store 3</t>
  </si>
  <si>
    <t>Store 4</t>
  </si>
  <si>
    <t>New</t>
  </si>
  <si>
    <t>Store 5</t>
  </si>
  <si>
    <t>Kiosk 1</t>
  </si>
  <si>
    <t>Kiosk 2</t>
  </si>
  <si>
    <t>Kiosk 3</t>
  </si>
  <si>
    <t>New Customers</t>
  </si>
  <si>
    <t>Existing Customer Churn</t>
  </si>
  <si>
    <t>Average Subscription Rate</t>
  </si>
  <si>
    <t>Existing Customer Churn Rate</t>
  </si>
  <si>
    <t>Total Revenue</t>
  </si>
  <si>
    <t>Gross Profit</t>
  </si>
  <si>
    <t>Gross Margin</t>
  </si>
  <si>
    <t>Cost of Revenue</t>
  </si>
  <si>
    <t>Product A - Units Sold</t>
  </si>
  <si>
    <t>Growth Rate</t>
  </si>
  <si>
    <t>Product B - Units Sold</t>
  </si>
  <si>
    <t>Product A - Revenue</t>
  </si>
  <si>
    <t>Product B - Revenue</t>
  </si>
  <si>
    <t>Product A - Cost of Revenue</t>
  </si>
  <si>
    <t>Product B - Cost of Revenue</t>
  </si>
  <si>
    <t>Total Cost of Revenue</t>
  </si>
  <si>
    <t>Gross Profit Margin</t>
  </si>
  <si>
    <t>% of Revenue</t>
  </si>
  <si>
    <t>Operating Expenses</t>
  </si>
  <si>
    <t>Salaries and Wages</t>
  </si>
  <si>
    <t>Rent</t>
  </si>
  <si>
    <t>Utilities</t>
  </si>
  <si>
    <t>Total Operating Expenses</t>
  </si>
  <si>
    <t>EBITDA</t>
  </si>
  <si>
    <t>EBITDA Margin</t>
  </si>
  <si>
    <t>Forecasted Capital Expenditures</t>
  </si>
  <si>
    <t>Revenue</t>
  </si>
  <si>
    <t>Capital Expenditures</t>
  </si>
  <si>
    <t>% of Revenue Throughout</t>
  </si>
  <si>
    <t>Growth Rate Throughout</t>
  </si>
  <si>
    <t>Combination</t>
  </si>
  <si>
    <t>Example 2</t>
  </si>
  <si>
    <t>Example 3</t>
  </si>
  <si>
    <t>Example 1</t>
  </si>
  <si>
    <t>Key Assumptions</t>
  </si>
  <si>
    <t>Latest Fiscal Year (LFY)</t>
  </si>
  <si>
    <t>Latest 12 Months (LTM)</t>
  </si>
  <si>
    <t>Next Fiscal Year (NFY)</t>
  </si>
  <si>
    <t>Revenue Forecast Method</t>
  </si>
  <si>
    <t>Retail Model</t>
  </si>
  <si>
    <t>Subscription Model</t>
  </si>
  <si>
    <t>Cost of Revenue Forecast Method</t>
  </si>
  <si>
    <t>Operating Expenses Method</t>
  </si>
  <si>
    <t>Fixed vs. Variable</t>
  </si>
  <si>
    <t>Estimated Interest Rate</t>
  </si>
  <si>
    <t>Forecasted Income Statement</t>
  </si>
  <si>
    <t>Simplistic Revenue Forecast Model</t>
  </si>
  <si>
    <t>Notes:</t>
  </si>
  <si>
    <t>Select forecast method from the drop down menu in the Assumptions spreadsheet.</t>
  </si>
  <si>
    <t>Volume X Price Model</t>
  </si>
  <si>
    <t>Volume x Price Revenue Forecast Model</t>
  </si>
  <si>
    <t>Retail Revenue Forecast Model</t>
  </si>
  <si>
    <t>New Stores</t>
  </si>
  <si>
    <t>Existing Stores</t>
  </si>
  <si>
    <t>Subscription Revenue Forecast Model</t>
  </si>
  <si>
    <t>Average Customer Count</t>
  </si>
  <si>
    <t>Existing Customers (Beginning)</t>
  </si>
  <si>
    <t>Total Customers (End)</t>
  </si>
  <si>
    <t>% of Total Revenue</t>
  </si>
  <si>
    <t>Simplistic Cost of Revenue Forecast Model</t>
  </si>
  <si>
    <t>Volume x Price Cost of Revenue Forecast Model</t>
  </si>
  <si>
    <t>Simplistic - Growth Rate</t>
  </si>
  <si>
    <t>Simplistic - Percentage of Revenue</t>
  </si>
  <si>
    <t>Simplistic Operating Expense Forecast Model - Growth Rates</t>
  </si>
  <si>
    <t>Insert Expense</t>
  </si>
  <si>
    <t>Operating Expense Growth Rate</t>
  </si>
  <si>
    <t>Simplistic Operating Expense Forecast Model - Percentage of Revenue</t>
  </si>
  <si>
    <t>Operating as % of Revenue</t>
  </si>
  <si>
    <t>Select Method</t>
  </si>
  <si>
    <t>Color Code</t>
  </si>
  <si>
    <t>Input</t>
  </si>
  <si>
    <t>Hardcoded Number</t>
  </si>
  <si>
    <t>Linked from Different Spreadsheet</t>
  </si>
  <si>
    <t>Calculation</t>
  </si>
  <si>
    <t>Interest Expense</t>
  </si>
  <si>
    <t>Beginning Balance of Interest-Bearing Debt</t>
  </si>
  <si>
    <t>Ending Balance of Interest-Bearing Debt</t>
  </si>
  <si>
    <t>Average Balance of Interest-Bearing Debt</t>
  </si>
  <si>
    <t>Depreciation Expense</t>
  </si>
  <si>
    <t>EBIT</t>
  </si>
  <si>
    <t>EBT</t>
  </si>
  <si>
    <t>Net Income</t>
  </si>
  <si>
    <t>Interest Expense Forecast Model</t>
  </si>
  <si>
    <t>Estimated Income Tax Rate</t>
  </si>
  <si>
    <t>Pre-Tax Income</t>
  </si>
  <si>
    <t>State Income Tax Rate</t>
  </si>
  <si>
    <t>Income Before Federal Income Taxes</t>
  </si>
  <si>
    <t>Federal Income Tax Rate</t>
  </si>
  <si>
    <t>Total Taxes Paid</t>
  </si>
  <si>
    <t>Total Effective Income Tax Rate (Rounded)</t>
  </si>
  <si>
    <t>Estimated Interest Rates</t>
  </si>
  <si>
    <t>Current</t>
  </si>
  <si>
    <t>Operating Cash Forecast Model</t>
  </si>
  <si>
    <t>Cash</t>
  </si>
  <si>
    <t>Accounts Receivable</t>
  </si>
  <si>
    <t>Inventory</t>
  </si>
  <si>
    <t>Other Assets</t>
  </si>
  <si>
    <t>Total Current Assets</t>
  </si>
  <si>
    <t>Accounts Payable</t>
  </si>
  <si>
    <t>Other Current Liabilities</t>
  </si>
  <si>
    <t>Current Portion of Long-Term Debt</t>
  </si>
  <si>
    <t>Total Current Liabilities</t>
  </si>
  <si>
    <t>Total Net Working Capital</t>
  </si>
  <si>
    <t>Total Debt-Free Net Working Capital</t>
  </si>
  <si>
    <t>Total Debt-Free, Cash-Free Net Working Capital</t>
  </si>
  <si>
    <t>Cash Expenses</t>
  </si>
  <si>
    <t>Total Cash Expenses</t>
  </si>
  <si>
    <t>Daily Cash Expense (Total Cash Expenses Divided by 365)</t>
  </si>
  <si>
    <t>Historical Days Cash Expense Coverage Ratio</t>
  </si>
  <si>
    <t>Projected Days Cash Expense Coverage Ratio</t>
  </si>
  <si>
    <t>Historical Cash Balance</t>
  </si>
  <si>
    <t>Projected Cash Balance</t>
  </si>
  <si>
    <t>Additional Test of Reasonableness</t>
  </si>
  <si>
    <t>Accounts Receivable Forecast Model</t>
  </si>
  <si>
    <t>Historical Accounts Receivable</t>
  </si>
  <si>
    <t>Historical Accounts Receivable Turnover Ratio</t>
  </si>
  <si>
    <t>Projected Accounts Receivable</t>
  </si>
  <si>
    <t>Inventory Forecast Model</t>
  </si>
  <si>
    <t>Historical Inventory</t>
  </si>
  <si>
    <t>Historical Inventory Turnover Ratio</t>
  </si>
  <si>
    <t>Historical Days Sales Outstanding Ratio</t>
  </si>
  <si>
    <t>Projected Days Sales Outstanding Ratio</t>
  </si>
  <si>
    <t>Historical Days Inventory Outstanding Ratio</t>
  </si>
  <si>
    <t>Projected Days Inventory Outstanding Ratio</t>
  </si>
  <si>
    <t>Other Current Assets Forecast Model</t>
  </si>
  <si>
    <t>Historical Other Current Assets</t>
  </si>
  <si>
    <t>Historical Other Current Assets as % of Total Revenue</t>
  </si>
  <si>
    <t>Projected Other Current Assets as % of Total Revenue</t>
  </si>
  <si>
    <t>Historical Accounts Payable</t>
  </si>
  <si>
    <t>Accounts Payable Forecast Model</t>
  </si>
  <si>
    <t>Historical Accounts Payable Turnover Ratio</t>
  </si>
  <si>
    <t>Historical Days Payable Oustanding Ratio</t>
  </si>
  <si>
    <t>Projected Days Payable Oustanding Ratio</t>
  </si>
  <si>
    <t>Other Current Liabilities Forecast Model</t>
  </si>
  <si>
    <t>Historical Other Current Liabilities</t>
  </si>
  <si>
    <t>Projected Other Current Liabilities</t>
  </si>
  <si>
    <t>Projected Accounts Payable</t>
  </si>
  <si>
    <t>Projected Other Current Assets</t>
  </si>
  <si>
    <t>Projected Inventory</t>
  </si>
  <si>
    <t>Projected Capital Expenditures</t>
  </si>
  <si>
    <t>Net Working Capital Simplified Forecast Model</t>
  </si>
  <si>
    <t>Net Working Capital Driver-Based Forecast Model</t>
  </si>
  <si>
    <t>Debt Forecast Model</t>
  </si>
  <si>
    <t>Financing Capital Expenditures</t>
  </si>
  <si>
    <t>% Financed With Debt</t>
  </si>
  <si>
    <t>Term to Payoff (Years)</t>
  </si>
  <si>
    <t>Existing Debt</t>
  </si>
  <si>
    <t>Total Historical Debt Balance</t>
  </si>
  <si>
    <t>Average Remaining Term (Years)</t>
  </si>
  <si>
    <t>Beginning Balance</t>
  </si>
  <si>
    <t>Ending Balance</t>
  </si>
  <si>
    <t>5-year term with balloon payment at year 5</t>
  </si>
  <si>
    <t>Projected Debt Balances - Capital Expenditures</t>
  </si>
  <si>
    <t>Payment simplified for purposes of example. Typical amortization schedule will also include interest payments.</t>
  </si>
  <si>
    <t>Total Debt Financing Capital Expenditures</t>
  </si>
  <si>
    <t>Total Projected Debt</t>
  </si>
  <si>
    <t>Forecast Separately with Total Debt</t>
  </si>
  <si>
    <t>Plus: New Debt</t>
  </si>
  <si>
    <t>Less: Debt Payments</t>
  </si>
  <si>
    <t>Amount Financed With Debt</t>
  </si>
  <si>
    <t>Annual Principal Payment</t>
  </si>
  <si>
    <t>Debt balances assume mid-period financing event with half a year of principal payments in the first and last year</t>
  </si>
  <si>
    <t>Reasonableness Test</t>
  </si>
  <si>
    <t>Times Interest Earned Ratio (Interest Coverage)</t>
  </si>
  <si>
    <t>Debt-to-EBITDA Ratio</t>
  </si>
  <si>
    <t>Debt / EBITDA</t>
  </si>
  <si>
    <t>EBIT / Interest Expense</t>
  </si>
  <si>
    <t>Income Statement Inputs</t>
  </si>
  <si>
    <t>Projected Year Ending</t>
  </si>
  <si>
    <t>Tax Depreciation of Existing Fixed Assets</t>
  </si>
  <si>
    <t>Bonus Depreciation Assumptions</t>
  </si>
  <si>
    <t>Year</t>
  </si>
  <si>
    <t>Allowable Bonus</t>
  </si>
  <si>
    <t>Bonus Depreciation</t>
  </si>
  <si>
    <t>% Bonus Depreciation Applicable</t>
  </si>
  <si>
    <t>Remaining Capital Expenditures to be Depreciated</t>
  </si>
  <si>
    <t>Total Tax Depreciation of Future Capital Expenditures</t>
  </si>
  <si>
    <t>Total Projected Tax Depreciation</t>
  </si>
  <si>
    <t>MACRS Tables</t>
  </si>
  <si>
    <t>Half-Year Convention</t>
  </si>
  <si>
    <t>3-Year</t>
  </si>
  <si>
    <t>5-Year</t>
  </si>
  <si>
    <t>7-Year</t>
  </si>
  <si>
    <t>10-Year</t>
  </si>
  <si>
    <t>15-Year</t>
  </si>
  <si>
    <t>20-Year</t>
  </si>
  <si>
    <t>Depreciation Expense Forecast Model</t>
  </si>
  <si>
    <t>Tax Basis of Existing Fixed Assets</t>
  </si>
  <si>
    <t>Depreciation Inputs</t>
  </si>
  <si>
    <t>Depreciable Life - Tax</t>
  </si>
  <si>
    <t>Depreciation - Existing Fixed Assets</t>
  </si>
  <si>
    <t>Depreciation - Capital Expenditures</t>
  </si>
  <si>
    <t>Growth Rate After Year 5</t>
  </si>
  <si>
    <t>Bonus Depreciation (Tax Cuts and Jobs Act of 2017)</t>
  </si>
  <si>
    <t>Column Reference #</t>
  </si>
  <si>
    <t>Product A - Price Per Unit</t>
  </si>
  <si>
    <t>Product B - Price Per Unit</t>
  </si>
  <si>
    <t>Product A - Cost Per Unit</t>
  </si>
  <si>
    <t>Change in Cost Per Unit</t>
  </si>
  <si>
    <t>Product B - Cost Per Unit</t>
  </si>
  <si>
    <t>Operating Expense Forecast Model - Fixed vs. Variable</t>
  </si>
  <si>
    <t>Operating Expense</t>
  </si>
  <si>
    <t>Category</t>
  </si>
  <si>
    <t>Forecast Method</t>
  </si>
  <si>
    <t>Fixed</t>
  </si>
  <si>
    <t>Expense Categories</t>
  </si>
  <si>
    <t>Semi-Fixed</t>
  </si>
  <si>
    <t>Variable</t>
  </si>
  <si>
    <t>Forecast Methods</t>
  </si>
  <si>
    <t>Custom</t>
  </si>
  <si>
    <t>Total Operating Expenses % of Revenue</t>
  </si>
  <si>
    <t>Total Operating Expenses Growth Rate</t>
  </si>
  <si>
    <t>Historical Percentage of Revenue</t>
  </si>
  <si>
    <t>Historical Growth Rates</t>
  </si>
  <si>
    <t>Operating Expenses (Excl. Depreciation)</t>
  </si>
  <si>
    <t>Cash Turnover Ratio (End of Period)</t>
  </si>
  <si>
    <t>Cash Turnover Ratio (Average)</t>
  </si>
  <si>
    <t>Historical Other Current Liabilities as % of Operating Expenses</t>
  </si>
  <si>
    <t>Projected Other Current Liabilities as % of Operating Expenses</t>
  </si>
  <si>
    <t>ATTENTION: This spreadsheet is not intended to provide tax advice. It does not incorporate all nuances related to depreciation expense as stipulated in  the Internal Revenue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</si>
</sst>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/d;@"/>
    <numFmt numFmtId="165" formatCode="0.0%"/>
    <numFmt numFmtId="166" formatCode="_(* #,##0_);_(* \(#,##0\);_(* &quot;-&quot;??_);_(@_)"/>
    <numFmt numFmtId="167" formatCode="_(* #,##0.0_);_(* \(#,##0.0\);_(* &quot;-&quot;?_);_(@_)"/>
    <numFmt numFmtId="168" formatCode="_(* #,##0.0_);_(* \(#,##0.0\);_(* &quot;-&quot;??_);_(@_)"/>
    <numFmt numFmtId="169" formatCode="0_);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0" fillId="3" borderId="0" xfId="0" applyFill="1"/>
    <xf numFmtId="0" fontId="2" fillId="3" borderId="1" xfId="0" applyFont="1" applyFill="1" applyBorder="1"/>
    <xf numFmtId="0" fontId="2" fillId="3" borderId="3" xfId="0" applyFont="1" applyFill="1" applyBorder="1"/>
    <xf numFmtId="0" fontId="0" fillId="3" borderId="2" xfId="0" applyFill="1" applyBorder="1"/>
    <xf numFmtId="0" fontId="0" fillId="3" borderId="0" xfId="0" applyFill="1" applyBorder="1"/>
    <xf numFmtId="166" fontId="0" fillId="3" borderId="0" xfId="1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165" fontId="4" fillId="3" borderId="0" xfId="2" applyNumberFormat="1" applyFont="1" applyFill="1"/>
    <xf numFmtId="166" fontId="0" fillId="3" borderId="0" xfId="1" applyNumberFormat="1" applyFont="1" applyFill="1" applyBorder="1"/>
    <xf numFmtId="0" fontId="2" fillId="3" borderId="0" xfId="0" applyFont="1" applyFill="1"/>
    <xf numFmtId="0" fontId="0" fillId="3" borderId="1" xfId="0" applyFill="1" applyBorder="1"/>
    <xf numFmtId="43" fontId="0" fillId="3" borderId="0" xfId="1" applyFont="1" applyFill="1" applyBorder="1"/>
    <xf numFmtId="0" fontId="4" fillId="3" borderId="1" xfId="0" applyFont="1" applyFill="1" applyBorder="1" applyAlignment="1">
      <alignment horizontal="right"/>
    </xf>
    <xf numFmtId="166" fontId="0" fillId="3" borderId="2" xfId="1" applyNumberFormat="1" applyFont="1" applyFill="1" applyBorder="1"/>
    <xf numFmtId="0" fontId="0" fillId="3" borderId="0" xfId="0" applyFill="1" applyAlignment="1">
      <alignment horizontal="left" indent="1"/>
    </xf>
    <xf numFmtId="0" fontId="2" fillId="3" borderId="0" xfId="0" applyFont="1" applyFill="1" applyBorder="1"/>
    <xf numFmtId="165" fontId="6" fillId="2" borderId="0" xfId="2" applyNumberFormat="1" applyFont="1" applyFill="1"/>
    <xf numFmtId="165" fontId="4" fillId="3" borderId="2" xfId="2" applyNumberFormat="1" applyFont="1" applyFill="1" applyBorder="1"/>
    <xf numFmtId="166" fontId="6" fillId="2" borderId="2" xfId="1" applyNumberFormat="1" applyFont="1" applyFill="1" applyBorder="1"/>
    <xf numFmtId="165" fontId="6" fillId="3" borderId="0" xfId="2" applyNumberFormat="1" applyFont="1" applyFill="1"/>
    <xf numFmtId="0" fontId="0" fillId="3" borderId="3" xfId="0" applyFill="1" applyBorder="1"/>
    <xf numFmtId="0" fontId="0" fillId="3" borderId="4" xfId="0" applyFill="1" applyBorder="1"/>
    <xf numFmtId="166" fontId="6" fillId="2" borderId="3" xfId="1" applyNumberFormat="1" applyFont="1" applyFill="1" applyBorder="1"/>
    <xf numFmtId="166" fontId="6" fillId="2" borderId="0" xfId="1" applyNumberFormat="1" applyFont="1" applyFill="1" applyBorder="1"/>
    <xf numFmtId="166" fontId="6" fillId="2" borderId="1" xfId="1" applyNumberFormat="1" applyFont="1" applyFill="1" applyBorder="1"/>
    <xf numFmtId="166" fontId="0" fillId="3" borderId="1" xfId="1" applyNumberFormat="1" applyFont="1" applyFill="1" applyBorder="1"/>
    <xf numFmtId="43" fontId="6" fillId="2" borderId="3" xfId="1" applyFont="1" applyFill="1" applyBorder="1"/>
    <xf numFmtId="43" fontId="6" fillId="2" borderId="1" xfId="1" applyFont="1" applyFill="1" applyBorder="1"/>
    <xf numFmtId="167" fontId="0" fillId="3" borderId="0" xfId="0" applyNumberFormat="1" applyFill="1"/>
    <xf numFmtId="0" fontId="2" fillId="3" borderId="2" xfId="0" applyFont="1" applyFill="1" applyBorder="1"/>
    <xf numFmtId="0" fontId="3" fillId="3" borderId="0" xfId="0" applyFont="1" applyFill="1" applyBorder="1"/>
    <xf numFmtId="165" fontId="4" fillId="3" borderId="1" xfId="2" applyNumberFormat="1" applyFont="1" applyFill="1" applyBorder="1"/>
    <xf numFmtId="165" fontId="5" fillId="3" borderId="2" xfId="2" applyNumberFormat="1" applyFont="1" applyFill="1" applyBorder="1"/>
    <xf numFmtId="165" fontId="5" fillId="3" borderId="0" xfId="2" applyNumberFormat="1" applyFont="1" applyFill="1" applyBorder="1"/>
    <xf numFmtId="43" fontId="0" fillId="3" borderId="2" xfId="1" applyFont="1" applyFill="1" applyBorder="1"/>
    <xf numFmtId="165" fontId="5" fillId="2" borderId="3" xfId="2" applyNumberFormat="1" applyFont="1" applyFill="1" applyBorder="1"/>
    <xf numFmtId="165" fontId="5" fillId="2" borderId="1" xfId="2" applyNumberFormat="1" applyFont="1" applyFill="1" applyBorder="1"/>
    <xf numFmtId="165" fontId="4" fillId="3" borderId="0" xfId="2" applyNumberFormat="1" applyFont="1" applyFill="1" applyBorder="1"/>
    <xf numFmtId="165" fontId="4" fillId="3" borderId="3" xfId="2" applyNumberFormat="1" applyFont="1" applyFill="1" applyBorder="1"/>
    <xf numFmtId="0" fontId="4" fillId="3" borderId="0" xfId="0" applyFont="1" applyFill="1" applyBorder="1"/>
    <xf numFmtId="166" fontId="0" fillId="3" borderId="6" xfId="1" applyNumberFormat="1" applyFont="1" applyFill="1" applyBorder="1"/>
    <xf numFmtId="166" fontId="0" fillId="3" borderId="8" xfId="1" applyNumberFormat="1" applyFont="1" applyFill="1" applyBorder="1"/>
    <xf numFmtId="0" fontId="4" fillId="3" borderId="9" xfId="0" applyFont="1" applyFill="1" applyBorder="1"/>
    <xf numFmtId="166" fontId="0" fillId="3" borderId="10" xfId="1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9" xfId="0" applyFill="1" applyBorder="1"/>
    <xf numFmtId="166" fontId="2" fillId="3" borderId="0" xfId="0" applyNumberFormat="1" applyFont="1" applyFill="1"/>
    <xf numFmtId="166" fontId="2" fillId="3" borderId="2" xfId="1" applyNumberFormat="1" applyFont="1" applyFill="1" applyBorder="1"/>
    <xf numFmtId="166" fontId="2" fillId="3" borderId="0" xfId="1" applyNumberFormat="1" applyFont="1" applyFill="1"/>
    <xf numFmtId="166" fontId="2" fillId="3" borderId="2" xfId="0" applyNumberFormat="1" applyFont="1" applyFill="1" applyBorder="1"/>
    <xf numFmtId="166" fontId="2" fillId="3" borderId="0" xfId="0" applyNumberFormat="1" applyFont="1" applyFill="1" applyBorder="1"/>
    <xf numFmtId="43" fontId="0" fillId="3" borderId="10" xfId="1" applyFont="1" applyFill="1" applyBorder="1"/>
    <xf numFmtId="165" fontId="5" fillId="2" borderId="11" xfId="2" applyNumberFormat="1" applyFont="1" applyFill="1" applyBorder="1"/>
    <xf numFmtId="0" fontId="0" fillId="3" borderId="13" xfId="0" applyFill="1" applyBorder="1"/>
    <xf numFmtId="0" fontId="4" fillId="3" borderId="0" xfId="0" applyFont="1" applyFill="1" applyBorder="1" applyAlignment="1">
      <alignment horizontal="right"/>
    </xf>
    <xf numFmtId="165" fontId="5" fillId="3" borderId="10" xfId="2" applyNumberFormat="1" applyFont="1" applyFill="1" applyBorder="1"/>
    <xf numFmtId="166" fontId="2" fillId="3" borderId="13" xfId="0" applyNumberFormat="1" applyFont="1" applyFill="1" applyBorder="1"/>
    <xf numFmtId="166" fontId="2" fillId="3" borderId="15" xfId="0" applyNumberFormat="1" applyFont="1" applyFill="1" applyBorder="1"/>
    <xf numFmtId="0" fontId="2" fillId="3" borderId="12" xfId="0" applyFont="1" applyFill="1" applyBorder="1"/>
    <xf numFmtId="166" fontId="0" fillId="3" borderId="7" xfId="1" applyNumberFormat="1" applyFont="1" applyFill="1" applyBorder="1"/>
    <xf numFmtId="166" fontId="2" fillId="3" borderId="14" xfId="0" applyNumberFormat="1" applyFont="1" applyFill="1" applyBorder="1"/>
    <xf numFmtId="165" fontId="0" fillId="3" borderId="0" xfId="2" applyNumberFormat="1" applyFont="1" applyFill="1"/>
    <xf numFmtId="166" fontId="0" fillId="3" borderId="17" xfId="1" applyNumberFormat="1" applyFont="1" applyFill="1" applyBorder="1"/>
    <xf numFmtId="165" fontId="0" fillId="3" borderId="0" xfId="2" applyNumberFormat="1" applyFont="1" applyFill="1" applyAlignment="1">
      <alignment horizontal="right"/>
    </xf>
    <xf numFmtId="166" fontId="2" fillId="3" borderId="0" xfId="1" applyNumberFormat="1" applyFont="1" applyFill="1" applyBorder="1"/>
    <xf numFmtId="165" fontId="4" fillId="3" borderId="18" xfId="2" applyNumberFormat="1" applyFont="1" applyFill="1" applyBorder="1"/>
    <xf numFmtId="165" fontId="4" fillId="3" borderId="20" xfId="2" applyNumberFormat="1" applyFont="1" applyFill="1" applyBorder="1"/>
    <xf numFmtId="165" fontId="7" fillId="3" borderId="2" xfId="2" applyNumberFormat="1" applyFont="1" applyFill="1" applyBorder="1"/>
    <xf numFmtId="165" fontId="7" fillId="3" borderId="0" xfId="2" applyNumberFormat="1" applyFont="1" applyFill="1" applyBorder="1"/>
    <xf numFmtId="0" fontId="8" fillId="3" borderId="2" xfId="0" applyFont="1" applyFill="1" applyBorder="1"/>
    <xf numFmtId="0" fontId="8" fillId="3" borderId="0" xfId="0" applyFont="1" applyFill="1"/>
    <xf numFmtId="166" fontId="8" fillId="3" borderId="2" xfId="1" applyNumberFormat="1" applyFont="1" applyFill="1" applyBorder="1"/>
    <xf numFmtId="166" fontId="8" fillId="3" borderId="0" xfId="1" applyNumberFormat="1" applyFont="1" applyFill="1" applyBorder="1"/>
    <xf numFmtId="165" fontId="7" fillId="3" borderId="3" xfId="2" applyNumberFormat="1" applyFont="1" applyFill="1" applyBorder="1"/>
    <xf numFmtId="165" fontId="7" fillId="3" borderId="1" xfId="2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/>
    <xf numFmtId="164" fontId="2" fillId="3" borderId="2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6" fontId="0" fillId="3" borderId="2" xfId="0" applyNumberFormat="1" applyFill="1" applyBorder="1"/>
    <xf numFmtId="166" fontId="0" fillId="3" borderId="0" xfId="0" applyNumberFormat="1" applyFill="1" applyBorder="1"/>
    <xf numFmtId="165" fontId="5" fillId="2" borderId="2" xfId="2" applyNumberFormat="1" applyFont="1" applyFill="1" applyBorder="1"/>
    <xf numFmtId="165" fontId="5" fillId="2" borderId="0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2" fillId="0" borderId="28" xfId="0" applyFont="1" applyBorder="1"/>
    <xf numFmtId="0" fontId="0" fillId="0" borderId="0" xfId="0" applyAlignment="1">
      <alignment horizontal="center"/>
    </xf>
    <xf numFmtId="0" fontId="0" fillId="3" borderId="0" xfId="0" applyFont="1" applyFill="1"/>
    <xf numFmtId="0" fontId="0" fillId="3" borderId="5" xfId="0" applyFont="1" applyFill="1" applyBorder="1"/>
    <xf numFmtId="0" fontId="0" fillId="3" borderId="6" xfId="0" applyFont="1" applyFill="1" applyBorder="1"/>
    <xf numFmtId="0" fontId="0" fillId="3" borderId="0" xfId="0" applyFont="1" applyFill="1" applyBorder="1"/>
    <xf numFmtId="165" fontId="4" fillId="3" borderId="0" xfId="2" applyNumberFormat="1" applyFont="1" applyFill="1" applyBorder="1" applyAlignment="1">
      <alignment horizontal="right"/>
    </xf>
    <xf numFmtId="0" fontId="0" fillId="3" borderId="9" xfId="0" applyFont="1" applyFill="1" applyBorder="1"/>
    <xf numFmtId="0" fontId="6" fillId="3" borderId="0" xfId="0" applyFont="1" applyFill="1" applyBorder="1"/>
    <xf numFmtId="0" fontId="0" fillId="3" borderId="2" xfId="0" applyFont="1" applyFill="1" applyBorder="1"/>
    <xf numFmtId="0" fontId="0" fillId="3" borderId="10" xfId="0" applyFont="1" applyFill="1" applyBorder="1"/>
    <xf numFmtId="165" fontId="4" fillId="3" borderId="4" xfId="2" applyNumberFormat="1" applyFont="1" applyFill="1" applyBorder="1"/>
    <xf numFmtId="165" fontId="7" fillId="3" borderId="11" xfId="2" applyNumberFormat="1" applyFont="1" applyFill="1" applyBorder="1"/>
    <xf numFmtId="0" fontId="5" fillId="3" borderId="0" xfId="0" applyFont="1" applyFill="1" applyBorder="1"/>
    <xf numFmtId="0" fontId="7" fillId="3" borderId="2" xfId="0" applyFont="1" applyFill="1" applyBorder="1"/>
    <xf numFmtId="0" fontId="7" fillId="3" borderId="0" xfId="0" applyFont="1" applyFill="1" applyBorder="1"/>
    <xf numFmtId="0" fontId="7" fillId="3" borderId="10" xfId="0" applyFont="1" applyFill="1" applyBorder="1"/>
    <xf numFmtId="0" fontId="2" fillId="3" borderId="9" xfId="0" applyFont="1" applyFill="1" applyBorder="1"/>
    <xf numFmtId="166" fontId="9" fillId="3" borderId="2" xfId="1" applyNumberFormat="1" applyFont="1" applyFill="1" applyBorder="1"/>
    <xf numFmtId="166" fontId="9" fillId="3" borderId="0" xfId="1" applyNumberFormat="1" applyFont="1" applyFill="1" applyBorder="1"/>
    <xf numFmtId="166" fontId="9" fillId="3" borderId="10" xfId="1" applyNumberFormat="1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3" borderId="13" xfId="0" applyFont="1" applyFill="1" applyBorder="1" applyAlignment="1">
      <alignment horizontal="right"/>
    </xf>
    <xf numFmtId="165" fontId="4" fillId="3" borderId="13" xfId="2" applyNumberFormat="1" applyFont="1" applyFill="1" applyBorder="1"/>
    <xf numFmtId="165" fontId="7" fillId="3" borderId="14" xfId="2" applyNumberFormat="1" applyFont="1" applyFill="1" applyBorder="1"/>
    <xf numFmtId="165" fontId="7" fillId="3" borderId="13" xfId="2" applyNumberFormat="1" applyFont="1" applyFill="1" applyBorder="1"/>
    <xf numFmtId="165" fontId="7" fillId="3" borderId="15" xfId="2" applyNumberFormat="1" applyFont="1" applyFill="1" applyBorder="1"/>
    <xf numFmtId="0" fontId="8" fillId="3" borderId="0" xfId="0" applyFont="1" applyFill="1" applyBorder="1"/>
    <xf numFmtId="0" fontId="2" fillId="3" borderId="1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165" fontId="0" fillId="3" borderId="2" xfId="2" applyNumberFormat="1" applyFont="1" applyFill="1" applyBorder="1"/>
    <xf numFmtId="0" fontId="2" fillId="3" borderId="1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4" borderId="0" xfId="0" applyFill="1"/>
    <xf numFmtId="165" fontId="5" fillId="2" borderId="0" xfId="2" applyNumberFormat="1" applyFont="1" applyFill="1" applyBorder="1"/>
    <xf numFmtId="165" fontId="5" fillId="2" borderId="10" xfId="2" applyNumberFormat="1" applyFont="1" applyFill="1" applyBorder="1"/>
    <xf numFmtId="43" fontId="6" fillId="2" borderId="0" xfId="0" applyNumberFormat="1" applyFont="1" applyFill="1" applyBorder="1"/>
    <xf numFmtId="43" fontId="6" fillId="2" borderId="10" xfId="1" applyFont="1" applyFill="1" applyBorder="1"/>
    <xf numFmtId="166" fontId="3" fillId="2" borderId="0" xfId="1" applyNumberFormat="1" applyFont="1" applyFill="1"/>
    <xf numFmtId="166" fontId="6" fillId="2" borderId="6" xfId="1" applyNumberFormat="1" applyFont="1" applyFill="1" applyBorder="1"/>
    <xf numFmtId="43" fontId="6" fillId="2" borderId="0" xfId="1" applyFont="1" applyFill="1" applyBorder="1"/>
    <xf numFmtId="43" fontId="6" fillId="2" borderId="16" xfId="1" applyFont="1" applyFill="1" applyBorder="1"/>
    <xf numFmtId="0" fontId="6" fillId="2" borderId="0" xfId="0" applyFont="1" applyFill="1"/>
    <xf numFmtId="0" fontId="6" fillId="2" borderId="3" xfId="0" applyFont="1" applyFill="1" applyBorder="1"/>
    <xf numFmtId="0" fontId="6" fillId="2" borderId="1" xfId="0" applyFont="1" applyFill="1" applyBorder="1"/>
    <xf numFmtId="164" fontId="2" fillId="3" borderId="30" xfId="0" applyNumberFormat="1" applyFont="1" applyFill="1" applyBorder="1" applyAlignment="1">
      <alignment horizontal="center"/>
    </xf>
    <xf numFmtId="165" fontId="6" fillId="2" borderId="2" xfId="2" applyNumberFormat="1" applyFont="1" applyFill="1" applyBorder="1"/>
    <xf numFmtId="166" fontId="6" fillId="2" borderId="0" xfId="1" applyNumberFormat="1" applyFont="1" applyFill="1"/>
    <xf numFmtId="166" fontId="0" fillId="3" borderId="0" xfId="0" applyNumberFormat="1" applyFont="1" applyFill="1" applyBorder="1"/>
    <xf numFmtId="166" fontId="0" fillId="3" borderId="16" xfId="0" applyNumberFormat="1" applyFont="1" applyFill="1" applyBorder="1"/>
    <xf numFmtId="166" fontId="8" fillId="3" borderId="3" xfId="1" applyNumberFormat="1" applyFont="1" applyFill="1" applyBorder="1"/>
    <xf numFmtId="166" fontId="8" fillId="3" borderId="1" xfId="1" applyNumberFormat="1" applyFont="1" applyFill="1" applyBorder="1"/>
    <xf numFmtId="9" fontId="6" fillId="2" borderId="0" xfId="0" applyNumberFormat="1" applyFont="1" applyFill="1"/>
    <xf numFmtId="0" fontId="2" fillId="3" borderId="30" xfId="0" applyFont="1" applyFill="1" applyBorder="1" applyAlignment="1">
      <alignment horizontal="center"/>
    </xf>
    <xf numFmtId="9" fontId="6" fillId="2" borderId="2" xfId="0" applyNumberFormat="1" applyFont="1" applyFill="1" applyBorder="1"/>
    <xf numFmtId="9" fontId="8" fillId="3" borderId="0" xfId="0" applyNumberFormat="1" applyFont="1" applyFill="1" applyAlignment="1">
      <alignment horizontal="right"/>
    </xf>
    <xf numFmtId="165" fontId="8" fillId="3" borderId="0" xfId="2" applyNumberFormat="1" applyFont="1" applyFill="1" applyAlignment="1">
      <alignment horizontal="right"/>
    </xf>
    <xf numFmtId="166" fontId="0" fillId="3" borderId="29" xfId="1" applyNumberFormat="1" applyFont="1" applyFill="1" applyBorder="1"/>
    <xf numFmtId="166" fontId="0" fillId="3" borderId="31" xfId="1" applyNumberFormat="1" applyFont="1" applyFill="1" applyBorder="1"/>
    <xf numFmtId="166" fontId="0" fillId="3" borderId="30" xfId="1" applyNumberFormat="1" applyFont="1" applyFill="1" applyBorder="1"/>
    <xf numFmtId="0" fontId="2" fillId="3" borderId="31" xfId="0" applyFont="1" applyFill="1" applyBorder="1" applyAlignment="1">
      <alignment horizontal="center"/>
    </xf>
    <xf numFmtId="166" fontId="11" fillId="3" borderId="0" xfId="1" applyNumberFormat="1" applyFont="1" applyFill="1"/>
    <xf numFmtId="166" fontId="11" fillId="3" borderId="2" xfId="1" applyNumberFormat="1" applyFont="1" applyFill="1" applyBorder="1"/>
    <xf numFmtId="166" fontId="11" fillId="3" borderId="0" xfId="1" applyNumberFormat="1" applyFont="1" applyFill="1" applyBorder="1"/>
    <xf numFmtId="166" fontId="11" fillId="3" borderId="0" xfId="0" applyNumberFormat="1" applyFont="1" applyFill="1"/>
    <xf numFmtId="166" fontId="11" fillId="3" borderId="2" xfId="0" applyNumberFormat="1" applyFont="1" applyFill="1" applyBorder="1"/>
    <xf numFmtId="166" fontId="10" fillId="3" borderId="0" xfId="1" applyNumberFormat="1" applyFont="1" applyFill="1"/>
    <xf numFmtId="166" fontId="10" fillId="3" borderId="2" xfId="1" applyNumberFormat="1" applyFont="1" applyFill="1" applyBorder="1"/>
    <xf numFmtId="166" fontId="6" fillId="3" borderId="2" xfId="1" applyNumberFormat="1" applyFont="1" applyFill="1" applyBorder="1"/>
    <xf numFmtId="166" fontId="6" fillId="3" borderId="0" xfId="1" applyNumberFormat="1" applyFont="1" applyFill="1" applyBorder="1"/>
    <xf numFmtId="0" fontId="6" fillId="2" borderId="0" xfId="0" applyFont="1" applyFill="1" applyAlignment="1">
      <alignment horizontal="left" indent="1"/>
    </xf>
    <xf numFmtId="0" fontId="3" fillId="2" borderId="0" xfId="0" applyFont="1" applyFill="1" applyBorder="1"/>
    <xf numFmtId="165" fontId="6" fillId="2" borderId="2" xfId="2" applyNumberFormat="1" applyFont="1" applyFill="1" applyBorder="1" applyAlignment="1">
      <alignment horizontal="right"/>
    </xf>
    <xf numFmtId="165" fontId="6" fillId="2" borderId="0" xfId="2" applyNumberFormat="1" applyFont="1" applyFill="1" applyAlignment="1">
      <alignment horizontal="right"/>
    </xf>
    <xf numFmtId="0" fontId="12" fillId="3" borderId="0" xfId="0" applyFont="1" applyFill="1"/>
    <xf numFmtId="166" fontId="11" fillId="3" borderId="0" xfId="1" applyNumberFormat="1" applyFont="1" applyFill="1" applyAlignment="1">
      <alignment horizontal="right"/>
    </xf>
    <xf numFmtId="166" fontId="11" fillId="3" borderId="2" xfId="1" applyNumberFormat="1" applyFont="1" applyFill="1" applyBorder="1" applyAlignment="1">
      <alignment horizontal="right"/>
    </xf>
    <xf numFmtId="166" fontId="10" fillId="3" borderId="1" xfId="1" applyNumberFormat="1" applyFont="1" applyFill="1" applyBorder="1"/>
    <xf numFmtId="166" fontId="10" fillId="3" borderId="3" xfId="1" applyNumberFormat="1" applyFont="1" applyFill="1" applyBorder="1"/>
    <xf numFmtId="165" fontId="6" fillId="2" borderId="0" xfId="2" applyNumberFormat="1" applyFont="1" applyFill="1" applyAlignment="1">
      <alignment horizontal="center"/>
    </xf>
    <xf numFmtId="14" fontId="6" fillId="2" borderId="0" xfId="0" applyNumberFormat="1" applyFont="1" applyFill="1" applyAlignment="1">
      <alignment horizontal="center"/>
    </xf>
    <xf numFmtId="0" fontId="2" fillId="0" borderId="21" xfId="0" applyFont="1" applyBorder="1"/>
    <xf numFmtId="0" fontId="0" fillId="2" borderId="32" xfId="0" applyFill="1" applyBorder="1" applyAlignment="1">
      <alignment horizontal="center"/>
    </xf>
    <xf numFmtId="0" fontId="0" fillId="0" borderId="22" xfId="0" applyBorder="1"/>
    <xf numFmtId="0" fontId="6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3" borderId="0" xfId="0" applyFill="1" applyAlignment="1">
      <alignment horizontal="left"/>
    </xf>
    <xf numFmtId="166" fontId="8" fillId="3" borderId="0" xfId="1" applyNumberFormat="1" applyFont="1" applyFill="1"/>
    <xf numFmtId="0" fontId="6" fillId="3" borderId="0" xfId="0" applyFont="1" applyFill="1" applyAlignment="1">
      <alignment horizontal="left" indent="1"/>
    </xf>
    <xf numFmtId="0" fontId="8" fillId="3" borderId="0" xfId="0" applyFont="1" applyFill="1" applyAlignment="1">
      <alignment horizontal="left"/>
    </xf>
    <xf numFmtId="165" fontId="10" fillId="3" borderId="0" xfId="2" applyNumberFormat="1" applyFont="1" applyFill="1" applyBorder="1"/>
    <xf numFmtId="166" fontId="10" fillId="3" borderId="0" xfId="1" applyNumberFormat="1" applyFont="1" applyFill="1" applyBorder="1"/>
    <xf numFmtId="165" fontId="0" fillId="3" borderId="0" xfId="2" applyNumberFormat="1" applyFont="1" applyFill="1" applyBorder="1"/>
    <xf numFmtId="166" fontId="0" fillId="3" borderId="0" xfId="0" applyNumberFormat="1" applyFill="1"/>
    <xf numFmtId="166" fontId="1" fillId="3" borderId="0" xfId="1" applyNumberFormat="1" applyFont="1" applyFill="1" applyBorder="1"/>
    <xf numFmtId="10" fontId="4" fillId="3" borderId="0" xfId="0" applyNumberFormat="1" applyFont="1" applyFill="1" applyBorder="1"/>
    <xf numFmtId="166" fontId="1" fillId="3" borderId="1" xfId="1" applyNumberFormat="1" applyFont="1" applyFill="1" applyBorder="1"/>
    <xf numFmtId="166" fontId="1" fillId="3" borderId="33" xfId="1" applyNumberFormat="1" applyFont="1" applyFill="1" applyBorder="1"/>
    <xf numFmtId="0" fontId="12" fillId="3" borderId="0" xfId="0" applyFont="1" applyFill="1" applyBorder="1"/>
    <xf numFmtId="10" fontId="12" fillId="3" borderId="0" xfId="2" applyNumberFormat="1" applyFont="1" applyFill="1" applyBorder="1"/>
    <xf numFmtId="166" fontId="0" fillId="3" borderId="3" xfId="1" applyNumberFormat="1" applyFont="1" applyFill="1" applyBorder="1"/>
    <xf numFmtId="166" fontId="0" fillId="3" borderId="18" xfId="0" applyNumberFormat="1" applyFill="1" applyBorder="1"/>
    <xf numFmtId="166" fontId="0" fillId="3" borderId="34" xfId="0" applyNumberFormat="1" applyFill="1" applyBorder="1"/>
    <xf numFmtId="0" fontId="0" fillId="0" borderId="0" xfId="0" applyAlignment="1">
      <alignment horizontal="left" indent="1"/>
    </xf>
    <xf numFmtId="165" fontId="6" fillId="3" borderId="0" xfId="2" applyNumberFormat="1" applyFont="1" applyFill="1" applyAlignment="1">
      <alignment horizontal="center"/>
    </xf>
    <xf numFmtId="0" fontId="0" fillId="3" borderId="30" xfId="0" applyFill="1" applyBorder="1"/>
    <xf numFmtId="0" fontId="10" fillId="3" borderId="0" xfId="0" applyFont="1" applyFill="1"/>
    <xf numFmtId="166" fontId="10" fillId="3" borderId="0" xfId="1" applyNumberFormat="1" applyFont="1" applyFill="1" applyAlignment="1">
      <alignment horizontal="left" indent="1"/>
    </xf>
    <xf numFmtId="166" fontId="10" fillId="3" borderId="1" xfId="1" applyNumberFormat="1" applyFont="1" applyFill="1" applyBorder="1" applyAlignment="1">
      <alignment horizontal="left" indent="1"/>
    </xf>
    <xf numFmtId="166" fontId="0" fillId="3" borderId="18" xfId="1" applyNumberFormat="1" applyFont="1" applyFill="1" applyBorder="1"/>
    <xf numFmtId="166" fontId="10" fillId="3" borderId="2" xfId="1" applyNumberFormat="1" applyFont="1" applyFill="1" applyBorder="1" applyAlignment="1">
      <alignment horizontal="left" indent="1"/>
    </xf>
    <xf numFmtId="166" fontId="10" fillId="3" borderId="3" xfId="1" applyNumberFormat="1" applyFont="1" applyFill="1" applyBorder="1" applyAlignment="1">
      <alignment horizontal="left" indent="1"/>
    </xf>
    <xf numFmtId="166" fontId="2" fillId="3" borderId="34" xfId="1" applyNumberFormat="1" applyFont="1" applyFill="1" applyBorder="1"/>
    <xf numFmtId="166" fontId="2" fillId="3" borderId="18" xfId="1" applyNumberFormat="1" applyFont="1" applyFill="1" applyBorder="1"/>
    <xf numFmtId="43" fontId="4" fillId="3" borderId="0" xfId="1" applyFont="1" applyFill="1"/>
    <xf numFmtId="166" fontId="10" fillId="3" borderId="0" xfId="0" applyNumberFormat="1" applyFont="1" applyFill="1"/>
    <xf numFmtId="168" fontId="0" fillId="3" borderId="0" xfId="1" applyNumberFormat="1" applyFont="1" applyFill="1" applyBorder="1"/>
    <xf numFmtId="166" fontId="10" fillId="3" borderId="1" xfId="0" applyNumberFormat="1" applyFont="1" applyFill="1" applyBorder="1"/>
    <xf numFmtId="166" fontId="10" fillId="3" borderId="2" xfId="0" applyNumberFormat="1" applyFont="1" applyFill="1" applyBorder="1"/>
    <xf numFmtId="166" fontId="10" fillId="3" borderId="3" xfId="0" applyNumberFormat="1" applyFont="1" applyFill="1" applyBorder="1"/>
    <xf numFmtId="10" fontId="0" fillId="3" borderId="0" xfId="2" applyNumberFormat="1" applyFont="1" applyFill="1" applyBorder="1"/>
    <xf numFmtId="10" fontId="0" fillId="3" borderId="2" xfId="1" applyNumberFormat="1" applyFont="1" applyFill="1" applyBorder="1"/>
    <xf numFmtId="10" fontId="0" fillId="3" borderId="0" xfId="1" applyNumberFormat="1" applyFont="1" applyFill="1"/>
    <xf numFmtId="10" fontId="0" fillId="3" borderId="0" xfId="0" applyNumberFormat="1" applyFill="1"/>
    <xf numFmtId="10" fontId="6" fillId="2" borderId="3" xfId="2" applyNumberFormat="1" applyFont="1" applyFill="1" applyBorder="1"/>
    <xf numFmtId="10" fontId="6" fillId="2" borderId="1" xfId="2" applyNumberFormat="1" applyFont="1" applyFill="1" applyBorder="1"/>
    <xf numFmtId="0" fontId="6" fillId="2" borderId="0" xfId="0" applyFont="1" applyFill="1" applyBorder="1"/>
    <xf numFmtId="166" fontId="2" fillId="3" borderId="18" xfId="0" applyNumberFormat="1" applyFont="1" applyFill="1" applyBorder="1"/>
    <xf numFmtId="166" fontId="3" fillId="3" borderId="0" xfId="1" applyNumberFormat="1" applyFont="1" applyFill="1" applyBorder="1"/>
    <xf numFmtId="166" fontId="1" fillId="3" borderId="2" xfId="1" applyNumberFormat="1" applyFont="1" applyFill="1" applyBorder="1"/>
    <xf numFmtId="166" fontId="1" fillId="3" borderId="35" xfId="1" applyNumberFormat="1" applyFont="1" applyFill="1" applyBorder="1"/>
    <xf numFmtId="166" fontId="1" fillId="3" borderId="18" xfId="1" applyNumberFormat="1" applyFont="1" applyFill="1" applyBorder="1"/>
    <xf numFmtId="166" fontId="2" fillId="3" borderId="34" xfId="0" applyNumberFormat="1" applyFont="1" applyFill="1" applyBorder="1"/>
    <xf numFmtId="166" fontId="0" fillId="3" borderId="34" xfId="0" applyNumberFormat="1" applyFill="1" applyBorder="1" applyAlignment="1">
      <alignment horizontal="right"/>
    </xf>
    <xf numFmtId="166" fontId="0" fillId="3" borderId="18" xfId="0" applyNumberFormat="1" applyFill="1" applyBorder="1" applyAlignment="1">
      <alignment horizontal="right"/>
    </xf>
    <xf numFmtId="165" fontId="4" fillId="3" borderId="2" xfId="2" applyNumberFormat="1" applyFont="1" applyFill="1" applyBorder="1" applyAlignment="1">
      <alignment horizontal="right"/>
    </xf>
    <xf numFmtId="0" fontId="0" fillId="3" borderId="0" xfId="0" applyFill="1" applyAlignment="1">
      <alignment horizontal="left" indent="2"/>
    </xf>
    <xf numFmtId="166" fontId="0" fillId="3" borderId="1" xfId="0" applyNumberFormat="1" applyFill="1" applyBorder="1"/>
    <xf numFmtId="166" fontId="0" fillId="3" borderId="3" xfId="0" applyNumberFormat="1" applyFill="1" applyBorder="1"/>
    <xf numFmtId="165" fontId="6" fillId="2" borderId="3" xfId="2" applyNumberFormat="1" applyFont="1" applyFill="1" applyBorder="1"/>
    <xf numFmtId="165" fontId="6" fillId="2" borderId="1" xfId="2" applyNumberFormat="1" applyFont="1" applyFill="1" applyBorder="1"/>
    <xf numFmtId="43" fontId="10" fillId="3" borderId="0" xfId="0" applyNumberFormat="1" applyFont="1" applyFill="1"/>
    <xf numFmtId="165" fontId="8" fillId="3" borderId="2" xfId="2" applyNumberFormat="1" applyFont="1" applyFill="1" applyBorder="1"/>
    <xf numFmtId="165" fontId="8" fillId="3" borderId="0" xfId="2" applyNumberFormat="1" applyFont="1" applyFill="1" applyBorder="1"/>
    <xf numFmtId="0" fontId="0" fillId="0" borderId="0" xfId="0" applyAlignment="1">
      <alignment horizontal="left" indent="2"/>
    </xf>
    <xf numFmtId="0" fontId="9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169" fontId="13" fillId="3" borderId="0" xfId="0" applyNumberFormat="1" applyFont="1" applyFill="1"/>
    <xf numFmtId="0" fontId="9" fillId="3" borderId="0" xfId="0" applyFont="1" applyFill="1"/>
    <xf numFmtId="166" fontId="9" fillId="3" borderId="18" xfId="1" applyNumberFormat="1" applyFont="1" applyFill="1" applyBorder="1"/>
    <xf numFmtId="0" fontId="9" fillId="3" borderId="39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8" fillId="3" borderId="22" xfId="0" applyFont="1" applyFill="1" applyBorder="1"/>
    <xf numFmtId="9" fontId="8" fillId="3" borderId="23" xfId="0" applyNumberFormat="1" applyFont="1" applyFill="1" applyBorder="1"/>
    <xf numFmtId="165" fontId="8" fillId="3" borderId="0" xfId="2" applyNumberFormat="1" applyFont="1" applyFill="1"/>
    <xf numFmtId="166" fontId="8" fillId="3" borderId="0" xfId="0" applyNumberFormat="1" applyFont="1" applyFill="1"/>
    <xf numFmtId="43" fontId="8" fillId="3" borderId="0" xfId="0" applyNumberFormat="1" applyFont="1" applyFill="1"/>
    <xf numFmtId="166" fontId="8" fillId="3" borderId="31" xfId="1" applyNumberFormat="1" applyFont="1" applyFill="1" applyBorder="1"/>
    <xf numFmtId="0" fontId="8" fillId="3" borderId="24" xfId="0" applyFont="1" applyFill="1" applyBorder="1"/>
    <xf numFmtId="9" fontId="8" fillId="3" borderId="25" xfId="0" applyNumberFormat="1" applyFont="1" applyFill="1" applyBorder="1"/>
    <xf numFmtId="9" fontId="8" fillId="3" borderId="0" xfId="0" applyNumberFormat="1" applyFont="1" applyFill="1"/>
    <xf numFmtId="10" fontId="8" fillId="3" borderId="0" xfId="2" applyNumberFormat="1" applyFont="1" applyFill="1"/>
    <xf numFmtId="10" fontId="8" fillId="3" borderId="0" xfId="0" applyNumberFormat="1" applyFont="1" applyFill="1"/>
    <xf numFmtId="0" fontId="9" fillId="3" borderId="1" xfId="0" applyFont="1" applyFill="1" applyBorder="1" applyAlignment="1">
      <alignment horizontal="centerContinuous"/>
    </xf>
    <xf numFmtId="0" fontId="2" fillId="0" borderId="0" xfId="0" applyFont="1" applyAlignment="1">
      <alignment horizontal="left" indent="1"/>
    </xf>
    <xf numFmtId="14" fontId="9" fillId="3" borderId="0" xfId="0" applyNumberFormat="1" applyFont="1" applyFill="1" applyAlignment="1">
      <alignment horizontal="center"/>
    </xf>
    <xf numFmtId="0" fontId="9" fillId="3" borderId="0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8" fillId="3" borderId="6" xfId="1" applyNumberFormat="1" applyFont="1" applyFill="1" applyBorder="1"/>
    <xf numFmtId="166" fontId="8" fillId="3" borderId="7" xfId="1" applyNumberFormat="1" applyFont="1" applyFill="1" applyBorder="1"/>
    <xf numFmtId="166" fontId="8" fillId="3" borderId="8" xfId="1" applyNumberFormat="1" applyFont="1" applyFill="1" applyBorder="1"/>
    <xf numFmtId="0" fontId="7" fillId="3" borderId="0" xfId="0" applyFont="1" applyFill="1" applyAlignment="1">
      <alignment horizontal="right"/>
    </xf>
    <xf numFmtId="165" fontId="7" fillId="3" borderId="0" xfId="2" applyNumberFormat="1" applyFont="1" applyFill="1"/>
    <xf numFmtId="0" fontId="0" fillId="3" borderId="1" xfId="0" applyFill="1" applyBorder="1" applyAlignment="1">
      <alignment horizontal="centerContinuous"/>
    </xf>
    <xf numFmtId="0" fontId="0" fillId="3" borderId="26" xfId="0" applyFill="1" applyBorder="1"/>
    <xf numFmtId="0" fontId="0" fillId="3" borderId="27" xfId="0" applyFill="1" applyBorder="1"/>
    <xf numFmtId="0" fontId="2" fillId="3" borderId="28" xfId="0" applyFont="1" applyFill="1" applyBorder="1"/>
    <xf numFmtId="165" fontId="4" fillId="3" borderId="0" xfId="2" applyNumberFormat="1" applyFont="1" applyFill="1" applyAlignment="1">
      <alignment horizontal="right"/>
    </xf>
    <xf numFmtId="165" fontId="5" fillId="2" borderId="0" xfId="2" applyNumberFormat="1" applyFont="1" applyFill="1" applyBorder="1" applyAlignment="1">
      <alignment horizontal="right"/>
    </xf>
    <xf numFmtId="165" fontId="5" fillId="2" borderId="0" xfId="2" applyNumberFormat="1" applyFont="1" applyFill="1" applyAlignment="1">
      <alignment horizontal="right"/>
    </xf>
    <xf numFmtId="165" fontId="0" fillId="3" borderId="16" xfId="2" applyNumberFormat="1" applyFont="1" applyFill="1" applyBorder="1"/>
    <xf numFmtId="165" fontId="4" fillId="3" borderId="19" xfId="2" applyNumberFormat="1" applyFont="1" applyFill="1" applyBorder="1"/>
    <xf numFmtId="165" fontId="4" fillId="3" borderId="16" xfId="2" applyNumberFormat="1" applyFont="1" applyFill="1" applyBorder="1"/>
    <xf numFmtId="165" fontId="2" fillId="3" borderId="33" xfId="2" applyNumberFormat="1" applyFont="1" applyFill="1" applyBorder="1" applyAlignment="1">
      <alignment horizontal="right"/>
    </xf>
    <xf numFmtId="166" fontId="6" fillId="2" borderId="0" xfId="0" applyNumberFormat="1" applyFont="1" applyFill="1"/>
    <xf numFmtId="166" fontId="10" fillId="3" borderId="4" xfId="1" applyNumberFormat="1" applyFont="1" applyFill="1" applyBorder="1"/>
    <xf numFmtId="166" fontId="3" fillId="2" borderId="18" xfId="1" applyNumberFormat="1" applyFont="1" applyFill="1" applyBorder="1"/>
    <xf numFmtId="166" fontId="2" fillId="3" borderId="35" xfId="1" applyNumberFormat="1" applyFont="1" applyFill="1" applyBorder="1"/>
    <xf numFmtId="166" fontId="2" fillId="3" borderId="33" xfId="1" applyNumberFormat="1" applyFont="1" applyFill="1" applyBorder="1"/>
    <xf numFmtId="43" fontId="0" fillId="3" borderId="0" xfId="1" applyFont="1" applyFill="1"/>
    <xf numFmtId="43" fontId="1" fillId="3" borderId="0" xfId="1" applyFont="1" applyFill="1"/>
    <xf numFmtId="166" fontId="10" fillId="3" borderId="4" xfId="0" applyNumberFormat="1" applyFont="1" applyFill="1" applyBorder="1"/>
    <xf numFmtId="0" fontId="10" fillId="3" borderId="2" xfId="0" applyFont="1" applyFill="1" applyBorder="1"/>
    <xf numFmtId="165" fontId="9" fillId="3" borderId="37" xfId="0" applyNumberFormat="1" applyFont="1" applyFill="1" applyBorder="1" applyAlignment="1">
      <alignment horizontal="center"/>
    </xf>
    <xf numFmtId="165" fontId="9" fillId="3" borderId="38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8" fillId="3" borderId="29" xfId="1" applyNumberFormat="1" applyFont="1" applyFill="1" applyBorder="1" applyAlignment="1">
      <alignment horizontal="center"/>
    </xf>
    <xf numFmtId="166" fontId="8" fillId="3" borderId="17" xfId="1" applyNumberFormat="1" applyFont="1" applyFill="1" applyBorder="1" applyAlignment="1">
      <alignment horizontal="center"/>
    </xf>
    <xf numFmtId="166" fontId="8" fillId="3" borderId="36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eliosconsultingus.sharepoint.com/sites/HeliosConsultingInc/Shared%20Documents/Clients/SeaSpine/Workfile/7D%20Surgical%20ASC%20805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ing Notes"/>
      <sheetName val="Inputs"/>
      <sheetName val="Exhibits"/>
      <sheetName val="Cover"/>
      <sheetName val="Exhibit # Control"/>
      <sheetName val="1 Purchase Consideration"/>
      <sheetName val="2 WARA"/>
      <sheetName val="3 IRR"/>
      <sheetName val="4 WACC"/>
      <sheetName val="5 Beta"/>
      <sheetName val="6 Inventory"/>
      <sheetName val="7 Fixed Assets"/>
      <sheetName val="8 Corp Trade Name"/>
      <sheetName val="9 Royalty Rate - Marketing"/>
      <sheetName val="10 Germplasm"/>
      <sheetName val="11 Royalty Rate - Product IP"/>
      <sheetName val="12 Income Stmt"/>
      <sheetName val="13 Balance Sheet"/>
      <sheetName val="Free Cash Flow"/>
      <sheetName val="Income Statement - Valuatio (2)"/>
      <sheetName val="Consolidated Balance Sheet"/>
      <sheetName val="Balance Sheet Bridge"/>
      <sheetName val="Deferred Revenue Modeling"/>
      <sheetName val="CAPEX"/>
      <sheetName val="Trial Balance CA 3-31-21"/>
      <sheetName val="Trial Balance US 3-31-21 v2"/>
      <sheetName val="Canada"/>
      <sheetName val="USA"/>
      <sheetName val="Forecast_USD SPNE F2"/>
      <sheetName val="Forecast_G&amp;A"/>
      <sheetName val="Forecast_R&amp;D"/>
      <sheetName val="Forecast_M&amp;S"/>
      <sheetName val="Budget_USD Calendar"/>
      <sheetName val="G&amp;A"/>
      <sheetName val="R&amp;D"/>
      <sheetName val="M&amp;S"/>
      <sheetName val="Budget_USD"/>
      <sheetName val="Tieout to CAD Financials"/>
      <sheetName val="_CIQHiddenCacheSheet"/>
      <sheetName val="14 Working Capital"/>
      <sheetName val="15 NWC - Market Data"/>
      <sheetName val="16 Tax Depr."/>
      <sheetName val="Workpapers"/>
      <sheetName val="Workpaper # Control"/>
      <sheetName val="2 Terminal Value (IRR)"/>
      <sheetName val="3 TAB"/>
      <sheetName val="4 Profit Split"/>
      <sheetName val="5 Disposal Effort EBIT"/>
      <sheetName val="5 Inventory Turnover"/>
      <sheetName val="GPC Data"/>
      <sheetName val="Lease Analysis"/>
      <sheetName val="GPC 1"/>
      <sheetName val="GPC 2"/>
      <sheetName val="GPC 3"/>
      <sheetName val="GPC 4"/>
      <sheetName val="GPC 5"/>
      <sheetName val="GPC 6"/>
      <sheetName val="GPC 7"/>
      <sheetName val="GPC 8"/>
      <sheetName val="GPC 9"/>
      <sheetName val="GPC 10"/>
      <sheetName val="GPC 11"/>
      <sheetName val="GPC 12"/>
      <sheetName val="GPC 13"/>
      <sheetName val="GPC 14"/>
      <sheetName val="GPC 15"/>
      <sheetName val="Other Data and Support"/>
      <sheetName val="1 Tax Rate Calculation"/>
      <sheetName val="Marketing Expenses"/>
      <sheetName val="ktMINE Data - Mkting Intangible"/>
      <sheetName val="ktMINE Data - Technology"/>
      <sheetName val="Add'l Tradename Data"/>
      <sheetName val="Add'l Trade Secrets"/>
      <sheetName val="Cost of Capital Support"/>
      <sheetName val="Damodaran Data"/>
      <sheetName val="Damodaran Int'l Tax"/>
      <sheetName val="PCPIPCH"/>
      <sheetName val="WorldBank Inflation"/>
      <sheetName val="PBC"/>
      <sheetName val="2020 IS"/>
      <sheetName val="Income Statement - Valuation"/>
      <sheetName val="2020-2019 BS"/>
      <sheetName val="C. Workforce Template"/>
      <sheetName val="Tech Cost Approach Template"/>
      <sheetName val="AWF PBC"/>
      <sheetName val="Unused"/>
      <sheetName val="18 GPC Summary"/>
      <sheetName val="7 Corp TN Royalty Rates"/>
      <sheetName val="2 Rollover Equity - Value"/>
      <sheetName val="3 Rollover Equity - Alloc."/>
      <sheetName val="11 Cust. Relationships (Dist)"/>
      <sheetName val="12 CR (Dist) CAC"/>
      <sheetName val="5 Distributors"/>
      <sheetName val="21 Return on Assets Analysis"/>
      <sheetName val="2 WARA Taxable"/>
      <sheetName val="12 Tech 2"/>
      <sheetName val="6 Country Risk Premium"/>
      <sheetName val="7 Inflation Adj."/>
      <sheetName val="10 Player Relationships (Cost)"/>
      <sheetName val="8 Players - Developer Profit"/>
      <sheetName val="9 Players - Entr. Incentive"/>
      <sheetName val="9 Customer Interface"/>
      <sheetName val="10 Gaming Licenses"/>
      <sheetName val="A. Front-End Site Dev. Template"/>
      <sheetName val="B. Gaming Licenses Template"/>
      <sheetName val="4 Site - Developer Profit"/>
      <sheetName val="5 Site - Entr. Incentive"/>
      <sheetName val="6 Licenses - Developer Profit"/>
      <sheetName val="7 License - Entr. Incentive"/>
      <sheetName val="4 VC Rates"/>
      <sheetName val="6 Customers With Without"/>
      <sheetName val="7 Technology (MPEEM)"/>
      <sheetName val="8 Technology CAC"/>
      <sheetName val="11 Customer Relationships"/>
      <sheetName val="12 PR CAC"/>
      <sheetName val="9 Assembled Workforce"/>
      <sheetName val="5 AWF - Developer Profit"/>
      <sheetName val="5 AWF - Entr. Incentive"/>
      <sheetName val="15 FV Economic Depr."/>
    </sheetNames>
    <sheetDataSet>
      <sheetData sheetId="0"/>
      <sheetData sheetId="1">
        <row r="44">
          <cell r="C44">
            <v>0.39500000000000002</v>
          </cell>
        </row>
        <row r="47">
          <cell r="C47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theme/theme1.xml><?xml version="1.0" encoding="utf-8"?>
<a:theme xmlns:a="http://schemas.openxmlformats.org/drawingml/2006/main" name="Office Theme">
  <a:themeElements>
    <a:clrScheme name="Helios">
      <a:dk1>
        <a:srgbClr val="183F6E"/>
      </a:dk1>
      <a:lt1>
        <a:sysClr val="window" lastClr="FFFFFF"/>
      </a:lt1>
      <a:dk2>
        <a:srgbClr val="183F6E"/>
      </a:dk2>
      <a:lt2>
        <a:srgbClr val="FFFFFF"/>
      </a:lt2>
      <a:accent1>
        <a:srgbClr val="F04E34"/>
      </a:accent1>
      <a:accent2>
        <a:srgbClr val="606060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183F6E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7867-F6B1-4019-B139-BBC50A48D7F8}">
  <dimension ref="A1:S23"/>
  <sheetViews>
    <sheetView tabSelected="1" workbookViewId="0">
      <selection activeCell="B15" sqref="B15"/>
    </sheetView>
  </sheetViews>
  <sheetFormatPr defaultRowHeight="15" x14ac:dyDescent="0.25"/>
  <cols>
    <col min="1" max="1" width="35.85546875" customWidth="1"/>
    <col min="2" max="2" width="26.42578125" customWidth="1"/>
    <col min="4" max="4" width="11.42578125" customWidth="1"/>
    <col min="5" max="5" width="33.28515625" customWidth="1"/>
    <col min="15" max="15" width="26.42578125" customWidth="1"/>
    <col min="16" max="16" width="2.5703125" customWidth="1"/>
    <col min="17" max="17" width="31.42578125" bestFit="1" customWidth="1"/>
    <col min="18" max="18" width="2.28515625" customWidth="1"/>
    <col min="19" max="19" width="31.42578125" bestFit="1" customWidth="1"/>
    <col min="20" max="20" width="9.140625" customWidth="1"/>
  </cols>
  <sheetData>
    <row r="1" spans="1:19" ht="15.75" thickBot="1" x14ac:dyDescent="0.3">
      <c r="A1" s="80" t="s">
        <v>49</v>
      </c>
    </row>
    <row r="2" spans="1:19" x14ac:dyDescent="0.25">
      <c r="D2" s="174" t="s">
        <v>84</v>
      </c>
      <c r="E2" s="175" t="s">
        <v>85</v>
      </c>
    </row>
    <row r="3" spans="1:19" x14ac:dyDescent="0.25">
      <c r="D3" s="176"/>
      <c r="E3" s="177" t="s">
        <v>86</v>
      </c>
    </row>
    <row r="4" spans="1:19" x14ac:dyDescent="0.25">
      <c r="A4" t="s">
        <v>50</v>
      </c>
      <c r="B4" s="173">
        <v>44196</v>
      </c>
      <c r="D4" s="176"/>
      <c r="E4" s="178" t="s">
        <v>87</v>
      </c>
    </row>
    <row r="5" spans="1:19" ht="15.75" thickBot="1" x14ac:dyDescent="0.3">
      <c r="A5" t="s">
        <v>51</v>
      </c>
      <c r="B5" s="173">
        <v>44286</v>
      </c>
      <c r="D5" s="179"/>
      <c r="E5" s="180" t="s">
        <v>88</v>
      </c>
    </row>
    <row r="6" spans="1:19" x14ac:dyDescent="0.25">
      <c r="A6" t="s">
        <v>52</v>
      </c>
      <c r="B6" s="173">
        <v>44561</v>
      </c>
    </row>
    <row r="7" spans="1:19" x14ac:dyDescent="0.25">
      <c r="B7" s="92"/>
    </row>
    <row r="8" spans="1:19" ht="15.75" thickBot="1" x14ac:dyDescent="0.3">
      <c r="A8" s="80" t="s">
        <v>182</v>
      </c>
      <c r="B8" s="92"/>
    </row>
    <row r="9" spans="1:19" x14ac:dyDescent="0.25">
      <c r="A9" s="198" t="s">
        <v>53</v>
      </c>
      <c r="B9" s="92" t="s">
        <v>0</v>
      </c>
      <c r="O9" s="91" t="s">
        <v>53</v>
      </c>
      <c r="Q9" s="91" t="s">
        <v>56</v>
      </c>
      <c r="S9" s="91" t="s">
        <v>57</v>
      </c>
    </row>
    <row r="10" spans="1:19" x14ac:dyDescent="0.25">
      <c r="A10" s="198" t="s">
        <v>56</v>
      </c>
      <c r="B10" s="92" t="s">
        <v>0</v>
      </c>
      <c r="O10" s="89" t="s">
        <v>83</v>
      </c>
      <c r="Q10" s="89" t="s">
        <v>83</v>
      </c>
      <c r="S10" s="89" t="s">
        <v>83</v>
      </c>
    </row>
    <row r="11" spans="1:19" x14ac:dyDescent="0.25">
      <c r="A11" s="198" t="s">
        <v>33</v>
      </c>
      <c r="B11" s="92" t="s">
        <v>58</v>
      </c>
      <c r="O11" s="89" t="s">
        <v>0</v>
      </c>
      <c r="Q11" s="89" t="s">
        <v>0</v>
      </c>
      <c r="S11" s="89" t="s">
        <v>76</v>
      </c>
    </row>
    <row r="12" spans="1:19" x14ac:dyDescent="0.25">
      <c r="A12" s="198"/>
      <c r="B12" s="92"/>
      <c r="O12" s="89" t="s">
        <v>64</v>
      </c>
      <c r="Q12" s="89" t="s">
        <v>64</v>
      </c>
      <c r="S12" s="89" t="s">
        <v>77</v>
      </c>
    </row>
    <row r="13" spans="1:19" x14ac:dyDescent="0.25">
      <c r="A13" s="259" t="s">
        <v>105</v>
      </c>
      <c r="B13" s="199"/>
      <c r="O13" s="89" t="s">
        <v>54</v>
      </c>
      <c r="Q13" s="89"/>
      <c r="S13" s="89" t="s">
        <v>58</v>
      </c>
    </row>
    <row r="14" spans="1:19" ht="15.75" thickBot="1" x14ac:dyDescent="0.3">
      <c r="A14" s="239" t="s">
        <v>106</v>
      </c>
      <c r="B14" s="172">
        <v>0.05</v>
      </c>
      <c r="O14" s="90" t="s">
        <v>55</v>
      </c>
      <c r="Q14" s="90"/>
      <c r="S14" s="90"/>
    </row>
    <row r="15" spans="1:19" ht="15.75" thickBot="1" x14ac:dyDescent="0.3">
      <c r="A15" s="239">
        <f>YEAR(NFY)</f>
        <v>2021</v>
      </c>
      <c r="B15" s="172">
        <f>B14</f>
        <v>0.05</v>
      </c>
    </row>
    <row r="16" spans="1:19" x14ac:dyDescent="0.25">
      <c r="A16" s="239">
        <f>A15+1</f>
        <v>2022</v>
      </c>
      <c r="B16" s="172">
        <f>B15</f>
        <v>0.05</v>
      </c>
      <c r="O16" s="91" t="s">
        <v>204</v>
      </c>
    </row>
    <row r="17" spans="1:15" x14ac:dyDescent="0.25">
      <c r="A17" s="239">
        <f>A16+1</f>
        <v>2023</v>
      </c>
      <c r="B17" s="172">
        <f>B16</f>
        <v>0.05</v>
      </c>
      <c r="O17" s="89" t="s">
        <v>195</v>
      </c>
    </row>
    <row r="18" spans="1:15" x14ac:dyDescent="0.25">
      <c r="A18" s="239">
        <f>A17+1</f>
        <v>2024</v>
      </c>
      <c r="B18" s="172">
        <f>B17</f>
        <v>0.05</v>
      </c>
      <c r="O18" s="89" t="s">
        <v>196</v>
      </c>
    </row>
    <row r="19" spans="1:15" x14ac:dyDescent="0.25">
      <c r="A19" s="239">
        <f>A18+1</f>
        <v>2025</v>
      </c>
      <c r="B19" s="172">
        <f>B18</f>
        <v>0.05</v>
      </c>
      <c r="O19" s="89" t="s">
        <v>197</v>
      </c>
    </row>
    <row r="20" spans="1:15" x14ac:dyDescent="0.25">
      <c r="A20" s="198"/>
      <c r="B20" s="92"/>
      <c r="O20" s="89" t="s">
        <v>198</v>
      </c>
    </row>
    <row r="21" spans="1:15" x14ac:dyDescent="0.25">
      <c r="A21" s="259" t="s">
        <v>203</v>
      </c>
      <c r="O21" s="89" t="s">
        <v>199</v>
      </c>
    </row>
    <row r="22" spans="1:15" ht="15.75" thickBot="1" x14ac:dyDescent="0.3">
      <c r="A22" s="239" t="s">
        <v>205</v>
      </c>
      <c r="B22" s="92" t="s">
        <v>196</v>
      </c>
      <c r="O22" s="90" t="s">
        <v>200</v>
      </c>
    </row>
    <row r="23" spans="1:15" x14ac:dyDescent="0.25">
      <c r="A23" s="239" t="s">
        <v>206</v>
      </c>
      <c r="B23" s="92" t="s">
        <v>196</v>
      </c>
    </row>
  </sheetData>
  <dataValidations count="4">
    <dataValidation type="list" allowBlank="1" showInputMessage="1" showErrorMessage="1" sqref="B9" xr:uid="{83E36AD9-4010-4124-AA80-1CD4415F49B7}">
      <formula1>$O$10:$O$14</formula1>
    </dataValidation>
    <dataValidation type="list" allowBlank="1" showInputMessage="1" showErrorMessage="1" sqref="B10" xr:uid="{E491B783-333F-46B5-AB13-1E59E04E1C23}">
      <formula1>$Q$10:$Q$14</formula1>
    </dataValidation>
    <dataValidation type="list" allowBlank="1" showInputMessage="1" showErrorMessage="1" sqref="B11" xr:uid="{D1CE78CB-EA2B-4521-9765-F7B759EAAE4F}">
      <formula1>$S$10:$S$14</formula1>
    </dataValidation>
    <dataValidation type="list" allowBlank="1" showInputMessage="1" showErrorMessage="1" sqref="B22:B23" xr:uid="{9C0F00BF-EAD6-49FD-AA35-E3C1CECB141D}">
      <formula1>$O$17:$O$22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D222-AC28-4720-A17C-D6261FACF818}">
  <sheetPr>
    <tabColor theme="8" tint="0.59999389629810485"/>
  </sheetPr>
  <dimension ref="A1:S32"/>
  <sheetViews>
    <sheetView zoomScale="130" zoomScaleNormal="130" workbookViewId="0">
      <selection activeCell="B4" sqref="B4"/>
    </sheetView>
  </sheetViews>
  <sheetFormatPr defaultRowHeight="15" outlineLevelRow="1" x14ac:dyDescent="0.25"/>
  <cols>
    <col min="1" max="1" width="2.7109375" style="1" customWidth="1"/>
    <col min="2" max="2" width="24.28515625" style="1" customWidth="1"/>
    <col min="3" max="8" width="2.7109375" style="1" customWidth="1"/>
    <col min="9" max="12" width="9.7109375" style="1" bestFit="1" customWidth="1"/>
    <col min="13" max="13" width="9.140625" style="1" customWidth="1"/>
    <col min="14" max="18" width="9.5703125" style="1" bestFit="1" customWidth="1"/>
    <col min="19" max="19" width="9.42578125" style="1" customWidth="1"/>
    <col min="20" max="16384" width="9.140625" style="1"/>
  </cols>
  <sheetData>
    <row r="1" spans="1:19" x14ac:dyDescent="0.25">
      <c r="A1" s="11" t="s">
        <v>75</v>
      </c>
      <c r="B1" s="11"/>
      <c r="C1" s="11"/>
      <c r="D1" s="11"/>
      <c r="E1" s="11"/>
      <c r="F1" s="11"/>
      <c r="G1" s="11"/>
      <c r="H1" s="11"/>
    </row>
    <row r="4" spans="1:19" x14ac:dyDescent="0.25">
      <c r="B4" s="11"/>
    </row>
    <row r="5" spans="1:19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9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53" t="str">
        <f>'Income Statement'!M6</f>
        <v>12/31</v>
      </c>
      <c r="N6" s="146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</row>
    <row r="7" spans="1:19" x14ac:dyDescent="0.25">
      <c r="I7" s="78">
        <f>'Income Statement'!I7</f>
        <v>2016</v>
      </c>
      <c r="J7" s="78">
        <f>'Income Statement'!J7</f>
        <v>2017</v>
      </c>
      <c r="K7" s="78">
        <f>'Income Statement'!K7</f>
        <v>2018</v>
      </c>
      <c r="L7" s="78">
        <f>'Income Statement'!L7</f>
        <v>2019</v>
      </c>
      <c r="M7" s="78">
        <f>'Income Statement'!M7</f>
        <v>2020</v>
      </c>
      <c r="N7" s="79">
        <f>'Income Statement'!N7</f>
        <v>2021</v>
      </c>
      <c r="O7" s="78">
        <f>'Income Statement'!O7</f>
        <v>2022</v>
      </c>
      <c r="P7" s="78">
        <f>'Income Statement'!P7</f>
        <v>2023</v>
      </c>
      <c r="Q7" s="78">
        <f>'Income Statement'!Q7</f>
        <v>2024</v>
      </c>
      <c r="R7" s="78">
        <f>'Income Statement'!R7</f>
        <v>2025</v>
      </c>
      <c r="S7" s="17"/>
    </row>
    <row r="8" spans="1:19" hidden="1" outlineLevel="1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  <c r="S8" s="17"/>
    </row>
    <row r="9" spans="1:19" hidden="1" outlineLevel="1" x14ac:dyDescent="0.25">
      <c r="B9" s="11" t="s">
        <v>19</v>
      </c>
      <c r="C9" s="11"/>
      <c r="D9" s="11"/>
      <c r="E9" s="11"/>
      <c r="F9" s="11"/>
      <c r="G9" s="11"/>
      <c r="H9" s="11"/>
      <c r="I9" s="157">
        <f>'Income Statement'!I9</f>
        <v>1000</v>
      </c>
      <c r="J9" s="157">
        <f>'Income Statement'!J9</f>
        <v>1200</v>
      </c>
      <c r="K9" s="157">
        <f>'Income Statement'!K9</f>
        <v>1400</v>
      </c>
      <c r="L9" s="157">
        <f>'Income Statement'!L9</f>
        <v>1600</v>
      </c>
      <c r="M9" s="157">
        <f>'Income Statement'!M9</f>
        <v>1800</v>
      </c>
      <c r="N9" s="158">
        <f>'Income Statement'!N9</f>
        <v>1980.0000000000002</v>
      </c>
      <c r="O9" s="157">
        <f>'Income Statement'!O9</f>
        <v>2128.5</v>
      </c>
      <c r="P9" s="157">
        <f>'Income Statement'!P9</f>
        <v>2234.9250000000002</v>
      </c>
      <c r="Q9" s="157">
        <f>'Income Statement'!Q9</f>
        <v>2301.9727500000004</v>
      </c>
      <c r="R9" s="157">
        <f>'Income Statement'!R9</f>
        <v>2371.0319325000005</v>
      </c>
    </row>
    <row r="10" spans="1:19" s="7" customFormat="1" hidden="1" outlineLevel="1" x14ac:dyDescent="0.25">
      <c r="I10" s="267"/>
      <c r="J10" s="268"/>
      <c r="K10" s="268"/>
      <c r="L10" s="268"/>
      <c r="M10" s="268"/>
      <c r="N10" s="70"/>
      <c r="O10" s="268"/>
      <c r="P10" s="268"/>
      <c r="Q10" s="268"/>
      <c r="R10" s="268"/>
    </row>
    <row r="11" spans="1:19" collapsed="1" x14ac:dyDescent="0.25">
      <c r="I11" s="182"/>
      <c r="J11" s="182"/>
      <c r="K11" s="182"/>
      <c r="L11" s="182"/>
      <c r="M11" s="182"/>
      <c r="N11" s="74"/>
      <c r="O11" s="182"/>
      <c r="P11" s="182"/>
      <c r="Q11" s="182"/>
      <c r="R11" s="182"/>
    </row>
    <row r="12" spans="1:19" x14ac:dyDescent="0.25">
      <c r="B12" s="11" t="s">
        <v>22</v>
      </c>
      <c r="I12" s="182"/>
      <c r="J12" s="182"/>
      <c r="K12" s="182"/>
      <c r="L12" s="182"/>
      <c r="M12" s="182"/>
      <c r="N12" s="74"/>
      <c r="O12" s="182"/>
      <c r="P12" s="182"/>
      <c r="Q12" s="182"/>
      <c r="R12" s="182"/>
    </row>
    <row r="13" spans="1:19" x14ac:dyDescent="0.25">
      <c r="B13" s="46" t="s">
        <v>23</v>
      </c>
      <c r="C13" s="47"/>
      <c r="D13" s="47"/>
      <c r="E13" s="47"/>
      <c r="F13" s="47"/>
      <c r="G13" s="47"/>
      <c r="H13" s="47"/>
      <c r="I13" s="264">
        <f>'Rev. Volume x Price'!I9</f>
        <v>80</v>
      </c>
      <c r="J13" s="264">
        <f>'Rev. Volume x Price'!J9</f>
        <v>90</v>
      </c>
      <c r="K13" s="264">
        <f>'Rev. Volume x Price'!K9</f>
        <v>110</v>
      </c>
      <c r="L13" s="264">
        <f>'Rev. Volume x Price'!L9</f>
        <v>130</v>
      </c>
      <c r="M13" s="264">
        <f>'Rev. Volume x Price'!M9</f>
        <v>163</v>
      </c>
      <c r="N13" s="265">
        <f>'Rev. Volume x Price'!N9</f>
        <v>179.3</v>
      </c>
      <c r="O13" s="264">
        <f>'Rev. Volume x Price'!O9</f>
        <v>188.26500000000001</v>
      </c>
      <c r="P13" s="264">
        <f>'Rev. Volume x Price'!P9</f>
        <v>193.91295000000002</v>
      </c>
      <c r="Q13" s="264">
        <f>'Rev. Volume x Price'!Q9</f>
        <v>199.73033850000002</v>
      </c>
      <c r="R13" s="266">
        <f>'Rev. Volume x Price'!R9</f>
        <v>205.72224865500002</v>
      </c>
    </row>
    <row r="14" spans="1:19" x14ac:dyDescent="0.25">
      <c r="B14" s="48"/>
      <c r="C14" s="5"/>
      <c r="D14" s="5"/>
      <c r="E14" s="5"/>
      <c r="F14" s="5"/>
      <c r="G14" s="5"/>
      <c r="H14" s="5"/>
      <c r="I14" s="10"/>
      <c r="J14" s="10"/>
      <c r="K14" s="10"/>
      <c r="L14" s="10"/>
      <c r="M14" s="10"/>
      <c r="N14" s="15"/>
      <c r="O14" s="10"/>
      <c r="P14" s="10"/>
      <c r="Q14" s="10"/>
      <c r="R14" s="45"/>
    </row>
    <row r="15" spans="1:19" x14ac:dyDescent="0.25">
      <c r="B15" s="48" t="s">
        <v>212</v>
      </c>
      <c r="C15" s="5"/>
      <c r="D15" s="5"/>
      <c r="E15" s="5"/>
      <c r="F15" s="5"/>
      <c r="G15" s="5"/>
      <c r="H15" s="5"/>
      <c r="I15" s="133">
        <v>2.5</v>
      </c>
      <c r="J15" s="133">
        <v>2.65</v>
      </c>
      <c r="K15" s="133">
        <v>2.7</v>
      </c>
      <c r="L15" s="133">
        <v>2.7</v>
      </c>
      <c r="M15" s="133">
        <v>2.85</v>
      </c>
      <c r="N15" s="36">
        <f>M15*(1+N16)</f>
        <v>2.907</v>
      </c>
      <c r="O15" s="13">
        <f t="shared" ref="O15:R15" si="0">N15*(1+O16)</f>
        <v>2.93607</v>
      </c>
      <c r="P15" s="13">
        <f t="shared" si="0"/>
        <v>2.93607</v>
      </c>
      <c r="Q15" s="13">
        <f t="shared" si="0"/>
        <v>2.9067092999999997</v>
      </c>
      <c r="R15" s="54">
        <f t="shared" si="0"/>
        <v>2.9067092999999997</v>
      </c>
    </row>
    <row r="16" spans="1:19" s="7" customFormat="1" x14ac:dyDescent="0.25">
      <c r="B16" s="44" t="s">
        <v>213</v>
      </c>
      <c r="C16" s="41"/>
      <c r="D16" s="41"/>
      <c r="E16" s="41"/>
      <c r="F16" s="41"/>
      <c r="G16" s="41"/>
      <c r="H16" s="41"/>
      <c r="I16" s="14" t="s">
        <v>3</v>
      </c>
      <c r="J16" s="33">
        <f>J15/I15-1</f>
        <v>6.0000000000000053E-2</v>
      </c>
      <c r="K16" s="33">
        <f>K15/J15-1</f>
        <v>1.8867924528301883E-2</v>
      </c>
      <c r="L16" s="33">
        <f>L15/K15-1</f>
        <v>0</v>
      </c>
      <c r="M16" s="33">
        <f>M15/L15-1</f>
        <v>5.555555555555558E-2</v>
      </c>
      <c r="N16" s="37">
        <v>0.02</v>
      </c>
      <c r="O16" s="38">
        <v>0.01</v>
      </c>
      <c r="P16" s="38">
        <v>0</v>
      </c>
      <c r="Q16" s="38">
        <v>-0.01</v>
      </c>
      <c r="R16" s="55">
        <v>0</v>
      </c>
    </row>
    <row r="17" spans="2:18" s="7" customFormat="1" x14ac:dyDescent="0.25">
      <c r="B17" s="44"/>
      <c r="C17" s="41"/>
      <c r="D17" s="41"/>
      <c r="E17" s="41"/>
      <c r="F17" s="41"/>
      <c r="G17" s="41"/>
      <c r="H17" s="41"/>
      <c r="I17" s="57"/>
      <c r="J17" s="39"/>
      <c r="K17" s="39"/>
      <c r="L17" s="39"/>
      <c r="M17" s="39"/>
      <c r="N17" s="34"/>
      <c r="O17" s="35"/>
      <c r="P17" s="35"/>
      <c r="Q17" s="35"/>
      <c r="R17" s="58"/>
    </row>
    <row r="18" spans="2:18" x14ac:dyDescent="0.25">
      <c r="B18" s="61" t="s">
        <v>28</v>
      </c>
      <c r="C18" s="56"/>
      <c r="D18" s="56"/>
      <c r="E18" s="56"/>
      <c r="F18" s="56"/>
      <c r="G18" s="56"/>
      <c r="H18" s="56"/>
      <c r="I18" s="59">
        <f>I13*I15</f>
        <v>200</v>
      </c>
      <c r="J18" s="59">
        <f t="shared" ref="J18:R18" si="1">J13*J15</f>
        <v>238.5</v>
      </c>
      <c r="K18" s="59">
        <f t="shared" si="1"/>
        <v>297</v>
      </c>
      <c r="L18" s="59">
        <f t="shared" si="1"/>
        <v>351</v>
      </c>
      <c r="M18" s="59">
        <f t="shared" si="1"/>
        <v>464.55</v>
      </c>
      <c r="N18" s="63">
        <f t="shared" si="1"/>
        <v>521.2251</v>
      </c>
      <c r="O18" s="59">
        <f t="shared" si="1"/>
        <v>552.75921855000001</v>
      </c>
      <c r="P18" s="59">
        <f t="shared" si="1"/>
        <v>569.34199510650001</v>
      </c>
      <c r="Q18" s="59">
        <f t="shared" si="1"/>
        <v>580.55803241009801</v>
      </c>
      <c r="R18" s="60">
        <f t="shared" si="1"/>
        <v>597.97477338240094</v>
      </c>
    </row>
    <row r="19" spans="2:18" x14ac:dyDescent="0.25">
      <c r="B19" s="5"/>
      <c r="C19" s="5"/>
      <c r="D19" s="5"/>
      <c r="E19" s="5"/>
      <c r="F19" s="5"/>
      <c r="G19" s="5"/>
      <c r="H19" s="5"/>
      <c r="I19" s="53"/>
      <c r="J19" s="53"/>
      <c r="K19" s="53"/>
      <c r="L19" s="53"/>
      <c r="M19" s="53"/>
      <c r="N19" s="52"/>
      <c r="O19" s="53"/>
      <c r="P19" s="53"/>
      <c r="Q19" s="53"/>
      <c r="R19" s="53"/>
    </row>
    <row r="20" spans="2:18" x14ac:dyDescent="0.25">
      <c r="N20" s="4"/>
    </row>
    <row r="21" spans="2:18" x14ac:dyDescent="0.25">
      <c r="B21" s="46" t="s">
        <v>25</v>
      </c>
      <c r="C21" s="47"/>
      <c r="D21" s="47"/>
      <c r="E21" s="47"/>
      <c r="F21" s="47"/>
      <c r="G21" s="47"/>
      <c r="H21" s="47"/>
      <c r="I21" s="264">
        <f>'Rev. Volume x Price'!I19</f>
        <v>300</v>
      </c>
      <c r="J21" s="264">
        <f>'Rev. Volume x Price'!J19</f>
        <v>364</v>
      </c>
      <c r="K21" s="264">
        <f>'Rev. Volume x Price'!K19</f>
        <v>411</v>
      </c>
      <c r="L21" s="264">
        <f>'Rev. Volume x Price'!L19</f>
        <v>408</v>
      </c>
      <c r="M21" s="264">
        <f>'Rev. Volume x Price'!M19</f>
        <v>420</v>
      </c>
      <c r="N21" s="265">
        <f>'Rev. Volume x Price'!N19</f>
        <v>462.00000000000006</v>
      </c>
      <c r="O21" s="264">
        <f>'Rev. Volume x Price'!O19</f>
        <v>485.10000000000008</v>
      </c>
      <c r="P21" s="264">
        <f>'Rev. Volume x Price'!P19</f>
        <v>497.22750000000002</v>
      </c>
      <c r="Q21" s="264">
        <f>'Rev. Volume x Price'!Q19</f>
        <v>512.14432499999998</v>
      </c>
      <c r="R21" s="266">
        <f>'Rev. Volume x Price'!R19</f>
        <v>527.50865475000001</v>
      </c>
    </row>
    <row r="22" spans="2:18" x14ac:dyDescent="0.25">
      <c r="B22" s="48"/>
      <c r="C22" s="5"/>
      <c r="D22" s="5"/>
      <c r="E22" s="5"/>
      <c r="F22" s="5"/>
      <c r="G22" s="5"/>
      <c r="H22" s="5"/>
      <c r="I22" s="10"/>
      <c r="J22" s="10"/>
      <c r="K22" s="10"/>
      <c r="L22" s="10"/>
      <c r="M22" s="10"/>
      <c r="N22" s="15"/>
      <c r="O22" s="10"/>
      <c r="P22" s="10"/>
      <c r="Q22" s="10"/>
      <c r="R22" s="45"/>
    </row>
    <row r="23" spans="2:18" x14ac:dyDescent="0.25">
      <c r="B23" s="48" t="s">
        <v>214</v>
      </c>
      <c r="C23" s="5"/>
      <c r="D23" s="5"/>
      <c r="E23" s="5"/>
      <c r="F23" s="5"/>
      <c r="G23" s="5"/>
      <c r="H23" s="5"/>
      <c r="I23" s="133">
        <v>1</v>
      </c>
      <c r="J23" s="133">
        <v>0.95</v>
      </c>
      <c r="K23" s="133">
        <v>0.95</v>
      </c>
      <c r="L23" s="133">
        <v>1</v>
      </c>
      <c r="M23" s="133">
        <v>0.95</v>
      </c>
      <c r="N23" s="36">
        <f>M23*(1+N24)</f>
        <v>0.90249999999999997</v>
      </c>
      <c r="O23" s="13">
        <f t="shared" ref="O23:R23" si="2">N23*(1+O24)</f>
        <v>0.90249999999999997</v>
      </c>
      <c r="P23" s="13">
        <f t="shared" si="2"/>
        <v>0.90249999999999997</v>
      </c>
      <c r="Q23" s="13">
        <f t="shared" si="2"/>
        <v>0.90249999999999997</v>
      </c>
      <c r="R23" s="54">
        <f t="shared" si="2"/>
        <v>0.90249999999999997</v>
      </c>
    </row>
    <row r="24" spans="2:18" x14ac:dyDescent="0.25">
      <c r="B24" s="44" t="s">
        <v>213</v>
      </c>
      <c r="C24" s="41"/>
      <c r="D24" s="41"/>
      <c r="E24" s="41"/>
      <c r="F24" s="41"/>
      <c r="G24" s="41"/>
      <c r="H24" s="41"/>
      <c r="I24" s="14" t="s">
        <v>3</v>
      </c>
      <c r="J24" s="33">
        <f>J23/I23-1</f>
        <v>-5.0000000000000044E-2</v>
      </c>
      <c r="K24" s="33">
        <f>K23/J23-1</f>
        <v>0</v>
      </c>
      <c r="L24" s="33">
        <f>L23/K23-1</f>
        <v>5.2631578947368363E-2</v>
      </c>
      <c r="M24" s="33">
        <f>M23/L23-1</f>
        <v>-5.0000000000000044E-2</v>
      </c>
      <c r="N24" s="37">
        <v>-0.05</v>
      </c>
      <c r="O24" s="38">
        <v>0</v>
      </c>
      <c r="P24" s="38">
        <v>0</v>
      </c>
      <c r="Q24" s="38">
        <v>0</v>
      </c>
      <c r="R24" s="55">
        <v>0</v>
      </c>
    </row>
    <row r="25" spans="2:18" x14ac:dyDescent="0.25">
      <c r="B25" s="44"/>
      <c r="C25" s="41"/>
      <c r="D25" s="41"/>
      <c r="E25" s="41"/>
      <c r="F25" s="41"/>
      <c r="G25" s="41"/>
      <c r="H25" s="41"/>
      <c r="I25" s="57"/>
      <c r="J25" s="39"/>
      <c r="K25" s="39"/>
      <c r="L25" s="39"/>
      <c r="M25" s="39"/>
      <c r="N25" s="34"/>
      <c r="O25" s="35"/>
      <c r="P25" s="35"/>
      <c r="Q25" s="35"/>
      <c r="R25" s="58"/>
    </row>
    <row r="26" spans="2:18" x14ac:dyDescent="0.25">
      <c r="B26" s="61" t="s">
        <v>29</v>
      </c>
      <c r="C26" s="56"/>
      <c r="D26" s="56"/>
      <c r="E26" s="56"/>
      <c r="F26" s="56"/>
      <c r="G26" s="56"/>
      <c r="H26" s="56"/>
      <c r="I26" s="59">
        <f>I21*I23</f>
        <v>300</v>
      </c>
      <c r="J26" s="59">
        <f t="shared" ref="J26:R26" si="3">J21*J23</f>
        <v>345.8</v>
      </c>
      <c r="K26" s="59">
        <f t="shared" si="3"/>
        <v>390.45</v>
      </c>
      <c r="L26" s="59">
        <f t="shared" si="3"/>
        <v>408</v>
      </c>
      <c r="M26" s="59">
        <f t="shared" si="3"/>
        <v>399</v>
      </c>
      <c r="N26" s="63">
        <f t="shared" si="3"/>
        <v>416.95500000000004</v>
      </c>
      <c r="O26" s="59">
        <f t="shared" si="3"/>
        <v>437.80275000000006</v>
      </c>
      <c r="P26" s="59">
        <f t="shared" si="3"/>
        <v>448.74781875000002</v>
      </c>
      <c r="Q26" s="59">
        <f t="shared" si="3"/>
        <v>462.21025331249996</v>
      </c>
      <c r="R26" s="60">
        <f t="shared" si="3"/>
        <v>476.07656091187499</v>
      </c>
    </row>
    <row r="27" spans="2:18" x14ac:dyDescent="0.25">
      <c r="N27" s="4"/>
    </row>
    <row r="28" spans="2:18" s="11" customFormat="1" x14ac:dyDescent="0.25">
      <c r="B28" s="11" t="s">
        <v>30</v>
      </c>
      <c r="I28" s="53">
        <f>I18+I26</f>
        <v>500</v>
      </c>
      <c r="J28" s="53">
        <f t="shared" ref="J28:R28" si="4">J18+J26</f>
        <v>584.29999999999995</v>
      </c>
      <c r="K28" s="53">
        <f t="shared" si="4"/>
        <v>687.45</v>
      </c>
      <c r="L28" s="53">
        <f t="shared" si="4"/>
        <v>759</v>
      </c>
      <c r="M28" s="53">
        <f t="shared" si="4"/>
        <v>863.55</v>
      </c>
      <c r="N28" s="52">
        <f t="shared" si="4"/>
        <v>938.18010000000004</v>
      </c>
      <c r="O28" s="53">
        <f t="shared" si="4"/>
        <v>990.56196855000007</v>
      </c>
      <c r="P28" s="53">
        <f t="shared" si="4"/>
        <v>1018.0898138565001</v>
      </c>
      <c r="Q28" s="53">
        <f t="shared" si="4"/>
        <v>1042.768285722598</v>
      </c>
      <c r="R28" s="53">
        <f t="shared" si="4"/>
        <v>1074.0513342942759</v>
      </c>
    </row>
    <row r="29" spans="2:18" s="7" customFormat="1" x14ac:dyDescent="0.25">
      <c r="B29" s="7" t="s">
        <v>32</v>
      </c>
      <c r="I29" s="33">
        <f>I28/I9</f>
        <v>0.5</v>
      </c>
      <c r="J29" s="33">
        <f t="shared" ref="J29:R29" si="5">J28/J9</f>
        <v>0.48691666666666661</v>
      </c>
      <c r="K29" s="33">
        <f t="shared" si="5"/>
        <v>0.4910357142857143</v>
      </c>
      <c r="L29" s="33">
        <f t="shared" si="5"/>
        <v>0.47437499999999999</v>
      </c>
      <c r="M29" s="33">
        <f t="shared" si="5"/>
        <v>0.47974999999999995</v>
      </c>
      <c r="N29" s="40">
        <f t="shared" si="5"/>
        <v>0.4738283333333333</v>
      </c>
      <c r="O29" s="33">
        <f t="shared" si="5"/>
        <v>0.46538030000000002</v>
      </c>
      <c r="P29" s="33">
        <f t="shared" si="5"/>
        <v>0.45553645596899223</v>
      </c>
      <c r="Q29" s="33">
        <f t="shared" si="5"/>
        <v>0.45298897900620144</v>
      </c>
      <c r="R29" s="33">
        <f t="shared" si="5"/>
        <v>0.45298897900620139</v>
      </c>
    </row>
    <row r="30" spans="2:18" x14ac:dyDescent="0.25">
      <c r="N30" s="4"/>
    </row>
    <row r="31" spans="2:18" s="11" customFormat="1" x14ac:dyDescent="0.25">
      <c r="B31" s="11" t="s">
        <v>20</v>
      </c>
      <c r="I31" s="49">
        <f>I9-I28</f>
        <v>500</v>
      </c>
      <c r="J31" s="49">
        <f t="shared" ref="J31:R31" si="6">J9-J28</f>
        <v>615.70000000000005</v>
      </c>
      <c r="K31" s="49">
        <f t="shared" si="6"/>
        <v>712.55</v>
      </c>
      <c r="L31" s="49">
        <f t="shared" si="6"/>
        <v>841</v>
      </c>
      <c r="M31" s="49">
        <f t="shared" si="6"/>
        <v>936.45</v>
      </c>
      <c r="N31" s="52">
        <f t="shared" si="6"/>
        <v>1041.8199000000002</v>
      </c>
      <c r="O31" s="49">
        <f t="shared" si="6"/>
        <v>1137.9380314499999</v>
      </c>
      <c r="P31" s="49">
        <f t="shared" si="6"/>
        <v>1216.8351861435001</v>
      </c>
      <c r="Q31" s="49">
        <f t="shared" si="6"/>
        <v>1259.2044642774024</v>
      </c>
      <c r="R31" s="49">
        <f t="shared" si="6"/>
        <v>1296.9805982057246</v>
      </c>
    </row>
    <row r="32" spans="2:18" s="7" customFormat="1" x14ac:dyDescent="0.25">
      <c r="B32" s="7" t="s">
        <v>31</v>
      </c>
      <c r="I32" s="9">
        <f>I31/I9</f>
        <v>0.5</v>
      </c>
      <c r="J32" s="9">
        <f t="shared" ref="J32:R32" si="7">J31/J9</f>
        <v>0.51308333333333334</v>
      </c>
      <c r="K32" s="9">
        <f t="shared" si="7"/>
        <v>0.50896428571428565</v>
      </c>
      <c r="L32" s="9">
        <f t="shared" si="7"/>
        <v>0.52562500000000001</v>
      </c>
      <c r="M32" s="9">
        <f t="shared" si="7"/>
        <v>0.52024999999999999</v>
      </c>
      <c r="N32" s="19">
        <f t="shared" si="7"/>
        <v>0.5261716666666667</v>
      </c>
      <c r="O32" s="9">
        <f t="shared" si="7"/>
        <v>0.53461969999999992</v>
      </c>
      <c r="P32" s="9">
        <f t="shared" si="7"/>
        <v>0.54446354403100772</v>
      </c>
      <c r="Q32" s="9">
        <f t="shared" si="7"/>
        <v>0.5470110209937985</v>
      </c>
      <c r="R32" s="9">
        <f t="shared" si="7"/>
        <v>0.54701102099379861</v>
      </c>
    </row>
  </sheetData>
  <pageMargins left="0.7" right="0.7" top="0.75" bottom="0.75" header="0.3" footer="0.3"/>
  <pageSetup scale="83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7D06-84C7-4E82-B93E-C64EACBC7FD9}">
  <sheetPr>
    <tabColor theme="7" tint="0.59999389629810485"/>
  </sheetPr>
  <dimension ref="A1"/>
  <sheetViews>
    <sheetView workbookViewId="0">
      <selection sqref="A1:XFD1048576"/>
    </sheetView>
  </sheetViews>
  <sheetFormatPr defaultRowHeight="15" x14ac:dyDescent="0.25"/>
  <cols>
    <col min="1" max="16384" width="9.140625" style="126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B77C-5FA9-4BA9-970A-5CF6EB945A27}">
  <sheetPr>
    <tabColor theme="7" tint="0.59999389629810485"/>
  </sheetPr>
  <dimension ref="A1:AO34"/>
  <sheetViews>
    <sheetView view="pageBreakPreview" zoomScale="130" zoomScaleNormal="100" zoomScaleSheetLayoutView="130" workbookViewId="0">
      <selection activeCell="B14" sqref="B14"/>
    </sheetView>
  </sheetViews>
  <sheetFormatPr defaultRowHeight="15" outlineLevelRow="1" x14ac:dyDescent="0.25"/>
  <cols>
    <col min="1" max="1" width="2.85546875" style="1" customWidth="1"/>
    <col min="2" max="2" width="24.28515625" style="1" customWidth="1"/>
    <col min="3" max="8" width="2.7109375" style="1" customWidth="1"/>
    <col min="9" max="12" width="9.85546875" style="1" bestFit="1" customWidth="1"/>
    <col min="13" max="13" width="9.140625" style="1" customWidth="1"/>
    <col min="14" max="18" width="10.140625" style="1" bestFit="1" customWidth="1"/>
    <col min="19" max="20" width="2.85546875" style="1" customWidth="1"/>
    <col min="21" max="21" width="29.85546875" style="1" bestFit="1" customWidth="1"/>
    <col min="22" max="31" width="9.140625" style="1"/>
    <col min="32" max="32" width="2.85546875" style="1" customWidth="1"/>
    <col min="33" max="16384" width="9.140625" style="1"/>
  </cols>
  <sheetData>
    <row r="1" spans="1:31" x14ac:dyDescent="0.25">
      <c r="A1" s="11" t="s">
        <v>78</v>
      </c>
      <c r="B1" s="11"/>
      <c r="C1" s="11"/>
      <c r="D1" s="11"/>
      <c r="E1" s="11"/>
      <c r="F1" s="11"/>
      <c r="G1" s="11"/>
      <c r="H1" s="11"/>
    </row>
    <row r="4" spans="1:31" x14ac:dyDescent="0.25">
      <c r="B4" s="11"/>
    </row>
    <row r="5" spans="1:31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  <c r="U5" s="11"/>
      <c r="V5" s="120" t="s">
        <v>1</v>
      </c>
      <c r="W5" s="120"/>
      <c r="X5" s="120"/>
      <c r="Y5" s="120"/>
      <c r="Z5" s="120"/>
      <c r="AA5" s="120" t="s">
        <v>2</v>
      </c>
      <c r="AB5" s="120"/>
      <c r="AC5" s="120"/>
      <c r="AD5" s="120"/>
      <c r="AE5" s="120"/>
    </row>
    <row r="6" spans="1:31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53" t="str">
        <f>'Income Statement'!M6</f>
        <v>12/31</v>
      </c>
      <c r="N6" s="146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  <c r="U6" s="5"/>
      <c r="V6" s="153" t="str">
        <f>I6</f>
        <v>12/31</v>
      </c>
      <c r="W6" s="121" t="str">
        <f>J6</f>
        <v>12/31</v>
      </c>
      <c r="X6" s="121" t="str">
        <f t="shared" ref="X6:X7" si="0">K6</f>
        <v>12/31</v>
      </c>
      <c r="Y6" s="121" t="str">
        <f t="shared" ref="Y6:Y7" si="1">L6</f>
        <v>12/31</v>
      </c>
      <c r="Z6" s="121" t="str">
        <f t="shared" ref="Z6:Z7" si="2">M6</f>
        <v>12/31</v>
      </c>
      <c r="AA6" s="146" t="str">
        <f>N6</f>
        <v>12/31</v>
      </c>
      <c r="AB6" s="121" t="str">
        <f>O6</f>
        <v>12/31</v>
      </c>
      <c r="AC6" s="121" t="str">
        <f t="shared" ref="AC6:AE7" si="3">P6</f>
        <v>12/31</v>
      </c>
      <c r="AD6" s="121" t="str">
        <f t="shared" si="3"/>
        <v>12/31</v>
      </c>
      <c r="AE6" s="121" t="str">
        <f t="shared" si="3"/>
        <v>12/31</v>
      </c>
    </row>
    <row r="7" spans="1:31" x14ac:dyDescent="0.25">
      <c r="I7" s="78">
        <f>'Income Statement'!I7</f>
        <v>2016</v>
      </c>
      <c r="J7" s="78">
        <f>'Income Statement'!J7</f>
        <v>2017</v>
      </c>
      <c r="K7" s="78">
        <f>'Income Statement'!K7</f>
        <v>2018</v>
      </c>
      <c r="L7" s="78">
        <f>'Income Statement'!L7</f>
        <v>2019</v>
      </c>
      <c r="M7" s="78">
        <f>'Income Statement'!M7</f>
        <v>2020</v>
      </c>
      <c r="N7" s="79">
        <f>'Income Statement'!N7</f>
        <v>2021</v>
      </c>
      <c r="O7" s="78">
        <f>'Income Statement'!O7</f>
        <v>2022</v>
      </c>
      <c r="P7" s="78">
        <f>'Income Statement'!P7</f>
        <v>2023</v>
      </c>
      <c r="Q7" s="78">
        <f>'Income Statement'!Q7</f>
        <v>2024</v>
      </c>
      <c r="R7" s="78">
        <f>'Income Statement'!R7</f>
        <v>2025</v>
      </c>
      <c r="S7" s="17"/>
      <c r="T7" s="17"/>
      <c r="U7" s="17"/>
      <c r="V7" s="78">
        <f>I7</f>
        <v>2016</v>
      </c>
      <c r="W7" s="78">
        <f>J7</f>
        <v>2017</v>
      </c>
      <c r="X7" s="78">
        <f t="shared" si="0"/>
        <v>2018</v>
      </c>
      <c r="Y7" s="78">
        <f t="shared" si="1"/>
        <v>2019</v>
      </c>
      <c r="Z7" s="78">
        <f t="shared" si="2"/>
        <v>2020</v>
      </c>
      <c r="AA7" s="79">
        <f>N7</f>
        <v>2021</v>
      </c>
      <c r="AB7" s="78">
        <f>O7</f>
        <v>2022</v>
      </c>
      <c r="AC7" s="78">
        <f t="shared" si="3"/>
        <v>2023</v>
      </c>
      <c r="AD7" s="78">
        <f t="shared" si="3"/>
        <v>2024</v>
      </c>
      <c r="AE7" s="78">
        <f t="shared" si="3"/>
        <v>2025</v>
      </c>
    </row>
    <row r="8" spans="1:31" hidden="1" outlineLevel="1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  <c r="S8" s="17"/>
      <c r="T8" s="17"/>
      <c r="U8" s="17"/>
      <c r="AA8" s="4"/>
    </row>
    <row r="9" spans="1:31" hidden="1" outlineLevel="1" x14ac:dyDescent="0.25">
      <c r="B9" s="11" t="s">
        <v>19</v>
      </c>
      <c r="C9" s="11"/>
      <c r="D9" s="11"/>
      <c r="E9" s="11"/>
      <c r="F9" s="11"/>
      <c r="G9" s="11"/>
      <c r="H9" s="11"/>
      <c r="I9" s="154">
        <f>'Income Statement'!I9</f>
        <v>1000</v>
      </c>
      <c r="J9" s="154">
        <f>'Income Statement'!J9</f>
        <v>1200</v>
      </c>
      <c r="K9" s="154">
        <f>'Income Statement'!K9</f>
        <v>1400</v>
      </c>
      <c r="L9" s="154">
        <f>'Income Statement'!L9</f>
        <v>1600</v>
      </c>
      <c r="M9" s="154">
        <f>'Income Statement'!M9</f>
        <v>1800</v>
      </c>
      <c r="N9" s="155">
        <f>'Income Statement'!N9</f>
        <v>1980.0000000000002</v>
      </c>
      <c r="O9" s="154">
        <f>'Income Statement'!O9</f>
        <v>2128.5</v>
      </c>
      <c r="P9" s="154">
        <f>'Income Statement'!P9</f>
        <v>2234.9250000000002</v>
      </c>
      <c r="Q9" s="154">
        <f>'Income Statement'!Q9</f>
        <v>2301.9727500000004</v>
      </c>
      <c r="R9" s="154">
        <f>'Income Statement'!R9</f>
        <v>2371.0319325000005</v>
      </c>
      <c r="S9" s="17"/>
      <c r="T9" s="17"/>
      <c r="U9" s="17"/>
      <c r="AA9" s="4"/>
    </row>
    <row r="10" spans="1:31" hidden="1" outlineLevel="1" x14ac:dyDescent="0.25">
      <c r="B10" s="7" t="s">
        <v>24</v>
      </c>
      <c r="C10" s="7"/>
      <c r="D10" s="7"/>
      <c r="E10" s="7"/>
      <c r="F10" s="7"/>
      <c r="G10" s="7"/>
      <c r="H10" s="7"/>
      <c r="I10" s="8" t="s">
        <v>3</v>
      </c>
      <c r="J10" s="9">
        <f>J9/I9-1</f>
        <v>0.19999999999999996</v>
      </c>
      <c r="K10" s="9">
        <f t="shared" ref="K10:R10" si="4">K9/J9-1</f>
        <v>0.16666666666666674</v>
      </c>
      <c r="L10" s="9">
        <f t="shared" si="4"/>
        <v>0.14285714285714279</v>
      </c>
      <c r="M10" s="9">
        <f t="shared" si="4"/>
        <v>0.125</v>
      </c>
      <c r="N10" s="19">
        <f t="shared" si="4"/>
        <v>0.10000000000000009</v>
      </c>
      <c r="O10" s="9">
        <f t="shared" si="4"/>
        <v>7.4999999999999956E-2</v>
      </c>
      <c r="P10" s="9">
        <f t="shared" si="4"/>
        <v>5.0000000000000044E-2</v>
      </c>
      <c r="Q10" s="9">
        <f t="shared" si="4"/>
        <v>3.0000000000000027E-2</v>
      </c>
      <c r="R10" s="9">
        <f t="shared" si="4"/>
        <v>3.0000000000000027E-2</v>
      </c>
      <c r="S10" s="17"/>
      <c r="T10" s="17"/>
      <c r="U10" s="17"/>
      <c r="AA10" s="4"/>
    </row>
    <row r="11" spans="1:31" hidden="1" outlineLevel="1" x14ac:dyDescent="0.25">
      <c r="B11" s="7"/>
      <c r="C11" s="7"/>
      <c r="D11" s="7"/>
      <c r="E11" s="7"/>
      <c r="F11" s="7"/>
      <c r="G11" s="7"/>
      <c r="H11" s="7"/>
      <c r="I11" s="8"/>
      <c r="J11" s="9"/>
      <c r="K11" s="9"/>
      <c r="L11" s="9"/>
      <c r="M11" s="9"/>
      <c r="N11" s="19"/>
      <c r="O11" s="9"/>
      <c r="P11" s="9"/>
      <c r="Q11" s="9"/>
      <c r="R11" s="9"/>
      <c r="S11" s="17"/>
      <c r="T11" s="17"/>
      <c r="U11" s="17"/>
      <c r="AA11" s="4"/>
    </row>
    <row r="12" spans="1:31" s="11" customFormat="1" hidden="1" outlineLevel="1" x14ac:dyDescent="0.25">
      <c r="B12" s="11" t="s">
        <v>20</v>
      </c>
      <c r="C12" s="167"/>
      <c r="D12" s="167"/>
      <c r="E12" s="167"/>
      <c r="F12" s="167"/>
      <c r="G12" s="167"/>
      <c r="H12" s="167"/>
      <c r="I12" s="168">
        <f>'Income Statement'!I15</f>
        <v>500</v>
      </c>
      <c r="J12" s="168">
        <f>'Income Statement'!J15</f>
        <v>615.70000000000005</v>
      </c>
      <c r="K12" s="168">
        <f>'Income Statement'!K15</f>
        <v>712.55</v>
      </c>
      <c r="L12" s="168">
        <f>'Income Statement'!L15</f>
        <v>841</v>
      </c>
      <c r="M12" s="168">
        <f>'Income Statement'!M15</f>
        <v>936.45</v>
      </c>
      <c r="N12" s="169">
        <f>'Income Statement'!N15</f>
        <v>1043.46</v>
      </c>
      <c r="O12" s="168">
        <f>'Income Statement'!O15</f>
        <v>1138.7474999999999</v>
      </c>
      <c r="P12" s="168">
        <f>'Income Statement'!P15</f>
        <v>1215.7991999999999</v>
      </c>
      <c r="Q12" s="168">
        <f>'Income Statement'!Q15</f>
        <v>1259.1790942500002</v>
      </c>
      <c r="R12" s="168">
        <f>'Income Statement'!R15</f>
        <v>1296.9544670775003</v>
      </c>
      <c r="S12" s="17"/>
      <c r="T12" s="17"/>
      <c r="U12" s="17"/>
      <c r="AA12" s="31"/>
    </row>
    <row r="13" spans="1:31" collapsed="1" x14ac:dyDescent="0.25">
      <c r="I13" s="17"/>
      <c r="J13" s="17"/>
      <c r="K13" s="17"/>
      <c r="L13" s="17"/>
      <c r="M13" s="32"/>
      <c r="N13" s="31"/>
      <c r="O13" s="17"/>
      <c r="P13" s="17"/>
      <c r="Q13" s="17"/>
      <c r="R13" s="17"/>
      <c r="S13" s="17"/>
      <c r="T13" s="17"/>
      <c r="U13" s="17"/>
      <c r="AA13" s="4"/>
    </row>
    <row r="14" spans="1:31" x14ac:dyDescent="0.25">
      <c r="B14" s="11" t="s">
        <v>33</v>
      </c>
      <c r="I14" s="6"/>
      <c r="J14" s="6"/>
      <c r="K14" s="6"/>
      <c r="L14" s="6"/>
      <c r="M14" s="6"/>
      <c r="N14" s="15"/>
      <c r="O14" s="6"/>
      <c r="P14" s="6"/>
      <c r="Q14" s="6"/>
      <c r="R14" s="6"/>
      <c r="AA14" s="4"/>
    </row>
    <row r="15" spans="1:31" x14ac:dyDescent="0.25">
      <c r="B15" s="16" t="s">
        <v>35</v>
      </c>
      <c r="I15" s="140">
        <v>50</v>
      </c>
      <c r="J15" s="140">
        <v>51</v>
      </c>
      <c r="K15" s="140">
        <v>52</v>
      </c>
      <c r="L15" s="140">
        <v>53.05</v>
      </c>
      <c r="M15" s="140">
        <v>54.1</v>
      </c>
      <c r="N15" s="161"/>
      <c r="O15" s="162"/>
      <c r="P15" s="162"/>
      <c r="Q15" s="162"/>
      <c r="R15" s="162"/>
      <c r="V15" s="64"/>
      <c r="W15" s="64"/>
      <c r="X15" s="64"/>
      <c r="Y15" s="64"/>
      <c r="Z15" s="64"/>
      <c r="AA15" s="123"/>
      <c r="AB15" s="64"/>
      <c r="AC15" s="64"/>
      <c r="AD15" s="64"/>
      <c r="AE15" s="64"/>
    </row>
    <row r="16" spans="1:31" x14ac:dyDescent="0.25">
      <c r="B16" s="16" t="s">
        <v>34</v>
      </c>
      <c r="I16" s="140">
        <v>150</v>
      </c>
      <c r="J16" s="140">
        <v>160</v>
      </c>
      <c r="K16" s="140">
        <v>175</v>
      </c>
      <c r="L16" s="140">
        <v>265</v>
      </c>
      <c r="M16" s="140">
        <v>275</v>
      </c>
      <c r="N16" s="161"/>
      <c r="O16" s="162"/>
      <c r="P16" s="162"/>
      <c r="Q16" s="162"/>
      <c r="R16" s="162"/>
      <c r="V16" s="64"/>
      <c r="W16" s="64"/>
      <c r="X16" s="64"/>
      <c r="Y16" s="64"/>
      <c r="Z16" s="64"/>
      <c r="AA16" s="123"/>
      <c r="AB16" s="64"/>
      <c r="AC16" s="64"/>
      <c r="AD16" s="64"/>
      <c r="AE16" s="64"/>
    </row>
    <row r="17" spans="2:41" x14ac:dyDescent="0.25">
      <c r="B17" s="16" t="s">
        <v>36</v>
      </c>
      <c r="I17" s="25">
        <v>25</v>
      </c>
      <c r="J17" s="25">
        <v>30</v>
      </c>
      <c r="K17" s="25">
        <v>35</v>
      </c>
      <c r="L17" s="25">
        <v>40</v>
      </c>
      <c r="M17" s="25">
        <v>45</v>
      </c>
      <c r="N17" s="161"/>
      <c r="O17" s="162"/>
      <c r="P17" s="162"/>
      <c r="Q17" s="162"/>
      <c r="R17" s="162"/>
      <c r="V17" s="64"/>
      <c r="W17" s="64"/>
      <c r="X17" s="64"/>
      <c r="Y17" s="64"/>
      <c r="Z17" s="64"/>
      <c r="AA17" s="123"/>
      <c r="AB17" s="64"/>
      <c r="AC17" s="64"/>
      <c r="AD17" s="64"/>
      <c r="AE17" s="64"/>
    </row>
    <row r="18" spans="2:41" hidden="1" outlineLevel="1" x14ac:dyDescent="0.25">
      <c r="B18" s="163" t="s">
        <v>79</v>
      </c>
      <c r="I18" s="164"/>
      <c r="J18" s="164"/>
      <c r="K18" s="164"/>
      <c r="L18" s="164"/>
      <c r="M18" s="164"/>
      <c r="N18" s="31"/>
      <c r="O18" s="17"/>
      <c r="P18" s="17"/>
      <c r="Q18" s="17"/>
      <c r="R18" s="17"/>
      <c r="S18" s="17"/>
      <c r="T18" s="17"/>
      <c r="U18" s="17"/>
      <c r="AA18" s="4"/>
    </row>
    <row r="19" spans="2:41" hidden="1" outlineLevel="1" x14ac:dyDescent="0.25">
      <c r="B19" s="163" t="s">
        <v>79</v>
      </c>
      <c r="I19" s="164"/>
      <c r="J19" s="164"/>
      <c r="K19" s="164"/>
      <c r="L19" s="164"/>
      <c r="M19" s="164"/>
      <c r="N19" s="31"/>
      <c r="O19" s="17"/>
      <c r="P19" s="17"/>
      <c r="Q19" s="17"/>
      <c r="R19" s="17"/>
      <c r="S19" s="17"/>
      <c r="T19" s="17"/>
      <c r="U19" s="17"/>
      <c r="AA19" s="4"/>
    </row>
    <row r="20" spans="2:41" hidden="1" outlineLevel="1" collapsed="1" x14ac:dyDescent="0.25">
      <c r="B20" s="163" t="s">
        <v>79</v>
      </c>
      <c r="I20" s="135"/>
      <c r="J20" s="135"/>
      <c r="K20" s="135"/>
      <c r="L20" s="135"/>
      <c r="M20" s="135"/>
      <c r="N20" s="4"/>
      <c r="O20" s="5"/>
      <c r="P20" s="5"/>
      <c r="Q20" s="5"/>
      <c r="R20" s="5"/>
      <c r="AA20" s="4"/>
    </row>
    <row r="21" spans="2:41" hidden="1" outlineLevel="1" x14ac:dyDescent="0.25">
      <c r="B21" s="163" t="s">
        <v>79</v>
      </c>
      <c r="I21" s="135"/>
      <c r="J21" s="135"/>
      <c r="K21" s="135"/>
      <c r="L21" s="135"/>
      <c r="M21" s="135"/>
      <c r="N21" s="4"/>
      <c r="O21" s="5"/>
      <c r="P21" s="5"/>
      <c r="Q21" s="5"/>
      <c r="R21" s="5"/>
      <c r="AA21" s="4"/>
    </row>
    <row r="22" spans="2:41" hidden="1" outlineLevel="1" x14ac:dyDescent="0.25">
      <c r="B22" s="163" t="s">
        <v>79</v>
      </c>
      <c r="I22" s="135"/>
      <c r="J22" s="135"/>
      <c r="K22" s="135"/>
      <c r="L22" s="135"/>
      <c r="M22" s="135"/>
      <c r="N22" s="4"/>
      <c r="O22" s="5"/>
      <c r="P22" s="5"/>
      <c r="Q22" s="5"/>
      <c r="R22" s="5"/>
      <c r="AA22" s="4"/>
    </row>
    <row r="23" spans="2:41" hidden="1" outlineLevel="1" x14ac:dyDescent="0.25">
      <c r="B23" s="163" t="s">
        <v>79</v>
      </c>
      <c r="I23" s="135"/>
      <c r="J23" s="135"/>
      <c r="K23" s="135"/>
      <c r="L23" s="135"/>
      <c r="M23" s="135"/>
      <c r="N23" s="4"/>
      <c r="O23" s="5"/>
      <c r="P23" s="5"/>
      <c r="Q23" s="5"/>
      <c r="R23" s="5"/>
      <c r="AA23" s="4"/>
    </row>
    <row r="24" spans="2:41" hidden="1" outlineLevel="1" x14ac:dyDescent="0.25">
      <c r="B24" s="163" t="s">
        <v>79</v>
      </c>
      <c r="I24" s="135"/>
      <c r="J24" s="135"/>
      <c r="K24" s="135"/>
      <c r="L24" s="135"/>
      <c r="M24" s="135"/>
      <c r="N24" s="4"/>
      <c r="AA24" s="4"/>
    </row>
    <row r="25" spans="2:41" hidden="1" outlineLevel="1" x14ac:dyDescent="0.25">
      <c r="B25" s="163" t="s">
        <v>79</v>
      </c>
      <c r="I25" s="135"/>
      <c r="J25" s="135"/>
      <c r="K25" s="135"/>
      <c r="L25" s="135"/>
      <c r="M25" s="135"/>
      <c r="N25" s="4"/>
      <c r="AA25" s="4"/>
    </row>
    <row r="26" spans="2:41" hidden="1" outlineLevel="1" x14ac:dyDescent="0.25">
      <c r="B26" s="163" t="s">
        <v>79</v>
      </c>
      <c r="I26" s="135"/>
      <c r="J26" s="135"/>
      <c r="K26" s="135"/>
      <c r="L26" s="135"/>
      <c r="M26" s="135"/>
      <c r="N26" s="4"/>
      <c r="AA26" s="4"/>
    </row>
    <row r="27" spans="2:41" hidden="1" outlineLevel="1" x14ac:dyDescent="0.25">
      <c r="B27" s="163" t="s">
        <v>79</v>
      </c>
      <c r="I27" s="135"/>
      <c r="J27" s="135"/>
      <c r="K27" s="135"/>
      <c r="L27" s="135"/>
      <c r="M27" s="135"/>
      <c r="N27" s="22"/>
      <c r="AA27" s="4"/>
    </row>
    <row r="28" spans="2:41" collapsed="1" x14ac:dyDescent="0.25">
      <c r="B28" s="1" t="s">
        <v>37</v>
      </c>
      <c r="I28" s="65">
        <f>SUM(I15:I27)</f>
        <v>225</v>
      </c>
      <c r="J28" s="65">
        <f>SUM(J15:J27)</f>
        <v>241</v>
      </c>
      <c r="K28" s="65">
        <f>SUM(K15:K27)</f>
        <v>262</v>
      </c>
      <c r="L28" s="65">
        <f>SUM(L15:L27)</f>
        <v>358.05</v>
      </c>
      <c r="M28" s="65">
        <f>SUM(M15:M27)</f>
        <v>374.1</v>
      </c>
      <c r="N28" s="150">
        <f>M28*(1+AA28)</f>
        <v>400.28700000000003</v>
      </c>
      <c r="O28" s="65">
        <f>N28*(1+AB28)</f>
        <v>470.33722500000005</v>
      </c>
      <c r="P28" s="65">
        <f>O28*(1+AC28)</f>
        <v>479.74396950000005</v>
      </c>
      <c r="Q28" s="65">
        <f>P28*(1+AD28)</f>
        <v>494.13628858500005</v>
      </c>
      <c r="R28" s="65">
        <f>Q28*(1+AE28)</f>
        <v>508.96037724255007</v>
      </c>
      <c r="U28" s="1" t="s">
        <v>80</v>
      </c>
      <c r="V28" s="66" t="str">
        <f>IFERROR(I28/H28-1,"N/A")</f>
        <v>N/A</v>
      </c>
      <c r="W28" s="66">
        <f t="shared" ref="W28:Z28" si="5">IFERROR(J28/I28-1,"N/A")</f>
        <v>7.1111111111111125E-2</v>
      </c>
      <c r="X28" s="66">
        <f t="shared" si="5"/>
        <v>8.7136929460580825E-2</v>
      </c>
      <c r="Y28" s="66">
        <f t="shared" si="5"/>
        <v>0.36660305343511457</v>
      </c>
      <c r="Z28" s="66">
        <f t="shared" si="5"/>
        <v>4.4826141600335268E-2</v>
      </c>
      <c r="AA28" s="165">
        <v>7.0000000000000007E-2</v>
      </c>
      <c r="AB28" s="166">
        <v>0.17499999999999999</v>
      </c>
      <c r="AC28" s="166">
        <v>0.02</v>
      </c>
      <c r="AD28" s="166">
        <v>0.03</v>
      </c>
      <c r="AE28" s="166">
        <v>0.03</v>
      </c>
    </row>
    <row r="29" spans="2:41" s="7" customFormat="1" x14ac:dyDescent="0.25">
      <c r="B29" s="7" t="s">
        <v>225</v>
      </c>
      <c r="I29" s="39">
        <f t="shared" ref="I29:N29" si="6">I28/I9</f>
        <v>0.22500000000000001</v>
      </c>
      <c r="J29" s="39">
        <f t="shared" si="6"/>
        <v>0.20083333333333334</v>
      </c>
      <c r="K29" s="39">
        <f t="shared" si="6"/>
        <v>0.18714285714285714</v>
      </c>
      <c r="L29" s="39">
        <f t="shared" si="6"/>
        <v>0.22378125000000001</v>
      </c>
      <c r="M29" s="277">
        <f t="shared" si="6"/>
        <v>0.20783333333333334</v>
      </c>
      <c r="N29" s="39">
        <f t="shared" si="6"/>
        <v>0.20216515151515152</v>
      </c>
      <c r="O29" s="39">
        <f t="shared" ref="O29:R29" si="7">O28/O9</f>
        <v>0.22097121212121215</v>
      </c>
      <c r="P29" s="39">
        <f t="shared" si="7"/>
        <v>0.21465774891774891</v>
      </c>
      <c r="Q29" s="39">
        <f t="shared" si="7"/>
        <v>0.21465774891774891</v>
      </c>
      <c r="R29" s="39">
        <f t="shared" si="7"/>
        <v>0.21465774891774891</v>
      </c>
      <c r="AF29" s="273"/>
      <c r="AG29" s="273"/>
      <c r="AH29" s="273"/>
      <c r="AI29" s="273"/>
      <c r="AJ29" s="273"/>
      <c r="AK29" s="274"/>
      <c r="AL29" s="275"/>
      <c r="AM29" s="275"/>
      <c r="AN29" s="275"/>
      <c r="AO29" s="275"/>
    </row>
    <row r="30" spans="2:41" s="7" customFormat="1" x14ac:dyDescent="0.25">
      <c r="B30" s="7" t="s">
        <v>226</v>
      </c>
      <c r="I30" s="97" t="s">
        <v>3</v>
      </c>
      <c r="J30" s="39">
        <f t="shared" ref="J30:R30" si="8">J28/I28-1</f>
        <v>7.1111111111111125E-2</v>
      </c>
      <c r="K30" s="39">
        <f t="shared" si="8"/>
        <v>8.7136929460580825E-2</v>
      </c>
      <c r="L30" s="39">
        <f t="shared" si="8"/>
        <v>0.36660305343511457</v>
      </c>
      <c r="M30" s="278">
        <f t="shared" si="8"/>
        <v>4.4826141600335268E-2</v>
      </c>
      <c r="N30" s="39">
        <f t="shared" si="8"/>
        <v>7.0000000000000062E-2</v>
      </c>
      <c r="O30" s="39">
        <f t="shared" si="8"/>
        <v>0.17500000000000004</v>
      </c>
      <c r="P30" s="39">
        <f t="shared" si="8"/>
        <v>2.0000000000000018E-2</v>
      </c>
      <c r="Q30" s="39">
        <f t="shared" si="8"/>
        <v>3.0000000000000027E-2</v>
      </c>
      <c r="R30" s="39">
        <f t="shared" si="8"/>
        <v>3.0000000000000027E-2</v>
      </c>
      <c r="AF30" s="273"/>
      <c r="AG30" s="273"/>
      <c r="AH30" s="273"/>
      <c r="AI30" s="273"/>
      <c r="AJ30" s="273"/>
      <c r="AK30" s="274"/>
      <c r="AL30" s="275"/>
      <c r="AM30" s="275"/>
      <c r="AN30" s="275"/>
      <c r="AO30" s="275"/>
    </row>
    <row r="31" spans="2:41" x14ac:dyDescent="0.25">
      <c r="I31" s="64"/>
      <c r="J31" s="64"/>
      <c r="K31" s="64"/>
      <c r="L31" s="64"/>
      <c r="M31" s="276"/>
      <c r="N31" s="64"/>
      <c r="O31" s="64"/>
      <c r="P31" s="64"/>
      <c r="Q31" s="64"/>
      <c r="R31" s="64"/>
    </row>
    <row r="32" spans="2:41" x14ac:dyDescent="0.25">
      <c r="B32" s="11" t="s">
        <v>38</v>
      </c>
      <c r="C32" s="11"/>
      <c r="D32" s="11"/>
      <c r="E32" s="11"/>
      <c r="F32" s="11"/>
      <c r="G32" s="11"/>
      <c r="H32" s="11"/>
      <c r="I32" s="67">
        <f>I12-I28</f>
        <v>275</v>
      </c>
      <c r="J32" s="67">
        <f t="shared" ref="J32:R32" si="9">J12-J28</f>
        <v>374.70000000000005</v>
      </c>
      <c r="K32" s="67">
        <f t="shared" si="9"/>
        <v>450.54999999999995</v>
      </c>
      <c r="L32" s="67">
        <f t="shared" si="9"/>
        <v>482.95</v>
      </c>
      <c r="M32" s="67">
        <f t="shared" si="9"/>
        <v>562.35</v>
      </c>
      <c r="N32" s="50">
        <f t="shared" si="9"/>
        <v>643.173</v>
      </c>
      <c r="O32" s="67">
        <f t="shared" si="9"/>
        <v>668.41027499999996</v>
      </c>
      <c r="P32" s="67">
        <f t="shared" si="9"/>
        <v>736.05523049999988</v>
      </c>
      <c r="Q32" s="67">
        <f t="shared" si="9"/>
        <v>765.04280566500006</v>
      </c>
      <c r="R32" s="67">
        <f t="shared" si="9"/>
        <v>787.99408983495027</v>
      </c>
    </row>
    <row r="33" spans="2:18" s="7" customFormat="1" ht="15.75" thickBot="1" x14ac:dyDescent="0.3">
      <c r="B33" s="7" t="s">
        <v>39</v>
      </c>
      <c r="I33" s="68">
        <f t="shared" ref="I33:R33" si="10">I32/I9</f>
        <v>0.27500000000000002</v>
      </c>
      <c r="J33" s="68">
        <f t="shared" si="10"/>
        <v>0.31225000000000003</v>
      </c>
      <c r="K33" s="68">
        <f t="shared" si="10"/>
        <v>0.32182142857142854</v>
      </c>
      <c r="L33" s="68">
        <f t="shared" si="10"/>
        <v>0.30184374999999997</v>
      </c>
      <c r="M33" s="69">
        <f t="shared" si="10"/>
        <v>0.31241666666666668</v>
      </c>
      <c r="N33" s="68">
        <f t="shared" si="10"/>
        <v>0.32483484848484845</v>
      </c>
      <c r="O33" s="68">
        <f t="shared" si="10"/>
        <v>0.31402878787878785</v>
      </c>
      <c r="P33" s="68">
        <f t="shared" si="10"/>
        <v>0.32934225108225101</v>
      </c>
      <c r="Q33" s="68">
        <f t="shared" si="10"/>
        <v>0.33234225108225107</v>
      </c>
      <c r="R33" s="68">
        <f t="shared" si="10"/>
        <v>0.33234225108225113</v>
      </c>
    </row>
    <row r="34" spans="2:18" ht="15.75" thickTop="1" x14ac:dyDescent="0.25">
      <c r="P34" s="64"/>
      <c r="Q34" s="64"/>
      <c r="R34" s="64"/>
    </row>
  </sheetData>
  <pageMargins left="0.7" right="0.7" top="0.75" bottom="0.75" header="0.3" footer="0.3"/>
  <pageSetup scale="85" orientation="landscape" horizontalDpi="1200" verticalDpi="1200" r:id="rId1"/>
  <colBreaks count="1" manualBreakCount="1">
    <brk id="19" max="3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4F5F-E6E4-4DAC-9004-8600FBE74AE3}">
  <sheetPr>
    <tabColor theme="7" tint="0.59999389629810485"/>
  </sheetPr>
  <dimension ref="A1:AO34"/>
  <sheetViews>
    <sheetView view="pageBreakPreview" zoomScale="130" zoomScaleNormal="100" zoomScaleSheetLayoutView="130" workbookViewId="0">
      <selection activeCell="B14" sqref="B14"/>
    </sheetView>
  </sheetViews>
  <sheetFormatPr defaultRowHeight="15" outlineLevelRow="1" x14ac:dyDescent="0.25"/>
  <cols>
    <col min="1" max="1" width="2.85546875" style="1" customWidth="1"/>
    <col min="2" max="2" width="24.28515625" style="1" customWidth="1"/>
    <col min="3" max="8" width="2.7109375" style="1" customWidth="1"/>
    <col min="9" max="12" width="9.85546875" style="1" bestFit="1" customWidth="1"/>
    <col min="13" max="13" width="9.140625" style="1" customWidth="1"/>
    <col min="14" max="18" width="10.140625" style="1" bestFit="1" customWidth="1"/>
    <col min="19" max="20" width="2.85546875" style="1" customWidth="1"/>
    <col min="21" max="21" width="29.85546875" style="1" bestFit="1" customWidth="1"/>
    <col min="22" max="31" width="9.140625" style="1"/>
    <col min="32" max="32" width="2.85546875" style="1" customWidth="1"/>
    <col min="33" max="16384" width="9.140625" style="1"/>
  </cols>
  <sheetData>
    <row r="1" spans="1:31" x14ac:dyDescent="0.25">
      <c r="A1" s="11" t="s">
        <v>81</v>
      </c>
      <c r="B1" s="11"/>
      <c r="C1" s="11"/>
      <c r="D1" s="11"/>
      <c r="E1" s="11"/>
      <c r="F1" s="11"/>
      <c r="G1" s="11"/>
      <c r="H1" s="11"/>
    </row>
    <row r="4" spans="1:31" x14ac:dyDescent="0.25">
      <c r="B4" s="11"/>
    </row>
    <row r="5" spans="1:31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  <c r="U5" s="11"/>
      <c r="V5" s="120" t="s">
        <v>1</v>
      </c>
      <c r="W5" s="120"/>
      <c r="X5" s="120"/>
      <c r="Y5" s="120"/>
      <c r="Z5" s="120"/>
      <c r="AA5" s="120" t="s">
        <v>2</v>
      </c>
      <c r="AB5" s="120"/>
      <c r="AC5" s="120"/>
      <c r="AD5" s="120"/>
      <c r="AE5" s="120"/>
    </row>
    <row r="6" spans="1:31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53" t="str">
        <f>'Income Statement'!M6</f>
        <v>12/31</v>
      </c>
      <c r="N6" s="146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  <c r="U6" s="5"/>
      <c r="V6" s="153" t="str">
        <f>I6</f>
        <v>12/31</v>
      </c>
      <c r="W6" s="121" t="str">
        <f>J6</f>
        <v>12/31</v>
      </c>
      <c r="X6" s="121" t="str">
        <f t="shared" ref="X6:Z7" si="0">K6</f>
        <v>12/31</v>
      </c>
      <c r="Y6" s="121" t="str">
        <f t="shared" si="0"/>
        <v>12/31</v>
      </c>
      <c r="Z6" s="121" t="str">
        <f t="shared" si="0"/>
        <v>12/31</v>
      </c>
      <c r="AA6" s="146" t="str">
        <f>N6</f>
        <v>12/31</v>
      </c>
      <c r="AB6" s="121" t="str">
        <f>O6</f>
        <v>12/31</v>
      </c>
      <c r="AC6" s="121" t="str">
        <f t="shared" ref="AC6:AE7" si="1">P6</f>
        <v>12/31</v>
      </c>
      <c r="AD6" s="121" t="str">
        <f t="shared" si="1"/>
        <v>12/31</v>
      </c>
      <c r="AE6" s="121" t="str">
        <f t="shared" si="1"/>
        <v>12/31</v>
      </c>
    </row>
    <row r="7" spans="1:31" x14ac:dyDescent="0.25">
      <c r="I7" s="78">
        <f>'Income Statement'!I7</f>
        <v>2016</v>
      </c>
      <c r="J7" s="78">
        <f>'Income Statement'!J7</f>
        <v>2017</v>
      </c>
      <c r="K7" s="78">
        <f>'Income Statement'!K7</f>
        <v>2018</v>
      </c>
      <c r="L7" s="78">
        <f>'Income Statement'!L7</f>
        <v>2019</v>
      </c>
      <c r="M7" s="78">
        <f>'Income Statement'!M7</f>
        <v>2020</v>
      </c>
      <c r="N7" s="79">
        <f>'Income Statement'!N7</f>
        <v>2021</v>
      </c>
      <c r="O7" s="78">
        <f>'Income Statement'!O7</f>
        <v>2022</v>
      </c>
      <c r="P7" s="78">
        <f>'Income Statement'!P7</f>
        <v>2023</v>
      </c>
      <c r="Q7" s="78">
        <f>'Income Statement'!Q7</f>
        <v>2024</v>
      </c>
      <c r="R7" s="78">
        <f>'Income Statement'!R7</f>
        <v>2025</v>
      </c>
      <c r="S7" s="17"/>
      <c r="T7" s="17"/>
      <c r="U7" s="17"/>
      <c r="V7" s="78">
        <f>I7</f>
        <v>2016</v>
      </c>
      <c r="W7" s="78">
        <f>J7</f>
        <v>2017</v>
      </c>
      <c r="X7" s="78">
        <f t="shared" si="0"/>
        <v>2018</v>
      </c>
      <c r="Y7" s="78">
        <f t="shared" si="0"/>
        <v>2019</v>
      </c>
      <c r="Z7" s="78">
        <f t="shared" si="0"/>
        <v>2020</v>
      </c>
      <c r="AA7" s="79">
        <f>N7</f>
        <v>2021</v>
      </c>
      <c r="AB7" s="78">
        <f>O7</f>
        <v>2022</v>
      </c>
      <c r="AC7" s="78">
        <f t="shared" si="1"/>
        <v>2023</v>
      </c>
      <c r="AD7" s="78">
        <f t="shared" si="1"/>
        <v>2024</v>
      </c>
      <c r="AE7" s="78">
        <f t="shared" si="1"/>
        <v>2025</v>
      </c>
    </row>
    <row r="8" spans="1:31" hidden="1" outlineLevel="1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  <c r="S8" s="17"/>
      <c r="T8" s="17"/>
      <c r="U8" s="17"/>
      <c r="AA8" s="4"/>
    </row>
    <row r="9" spans="1:31" hidden="1" outlineLevel="1" x14ac:dyDescent="0.25">
      <c r="B9" s="11" t="s">
        <v>19</v>
      </c>
      <c r="C9" s="11"/>
      <c r="D9" s="11"/>
      <c r="E9" s="11"/>
      <c r="F9" s="11"/>
      <c r="G9" s="11"/>
      <c r="H9" s="11"/>
      <c r="I9" s="154">
        <f>'Income Statement'!I9</f>
        <v>1000</v>
      </c>
      <c r="J9" s="154">
        <f>'Income Statement'!J9</f>
        <v>1200</v>
      </c>
      <c r="K9" s="154">
        <f>'Income Statement'!K9</f>
        <v>1400</v>
      </c>
      <c r="L9" s="154">
        <f>'Income Statement'!L9</f>
        <v>1600</v>
      </c>
      <c r="M9" s="154">
        <f>'Income Statement'!M9</f>
        <v>1800</v>
      </c>
      <c r="N9" s="155">
        <f>'Income Statement'!N9</f>
        <v>1980.0000000000002</v>
      </c>
      <c r="O9" s="154">
        <f>'Income Statement'!O9</f>
        <v>2128.5</v>
      </c>
      <c r="P9" s="154">
        <f>'Income Statement'!P9</f>
        <v>2234.9250000000002</v>
      </c>
      <c r="Q9" s="154">
        <f>'Income Statement'!Q9</f>
        <v>2301.9727500000004</v>
      </c>
      <c r="R9" s="154">
        <f>'Income Statement'!R9</f>
        <v>2371.0319325000005</v>
      </c>
      <c r="S9" s="17"/>
      <c r="T9" s="17"/>
      <c r="U9" s="17"/>
      <c r="AA9" s="4"/>
    </row>
    <row r="10" spans="1:31" hidden="1" outlineLevel="1" x14ac:dyDescent="0.25">
      <c r="B10" s="7" t="s">
        <v>24</v>
      </c>
      <c r="C10" s="7"/>
      <c r="D10" s="7"/>
      <c r="E10" s="7"/>
      <c r="F10" s="7"/>
      <c r="G10" s="7"/>
      <c r="H10" s="7"/>
      <c r="I10" s="8" t="s">
        <v>3</v>
      </c>
      <c r="J10" s="9">
        <f>J9/I9-1</f>
        <v>0.19999999999999996</v>
      </c>
      <c r="K10" s="9">
        <f t="shared" ref="K10:R10" si="2">K9/J9-1</f>
        <v>0.16666666666666674</v>
      </c>
      <c r="L10" s="9">
        <f t="shared" si="2"/>
        <v>0.14285714285714279</v>
      </c>
      <c r="M10" s="9">
        <f t="shared" si="2"/>
        <v>0.125</v>
      </c>
      <c r="N10" s="19">
        <f t="shared" si="2"/>
        <v>0.10000000000000009</v>
      </c>
      <c r="O10" s="9">
        <f t="shared" si="2"/>
        <v>7.4999999999999956E-2</v>
      </c>
      <c r="P10" s="9">
        <f t="shared" si="2"/>
        <v>5.0000000000000044E-2</v>
      </c>
      <c r="Q10" s="9">
        <f t="shared" si="2"/>
        <v>3.0000000000000027E-2</v>
      </c>
      <c r="R10" s="9">
        <f t="shared" si="2"/>
        <v>3.0000000000000027E-2</v>
      </c>
      <c r="S10" s="17"/>
      <c r="T10" s="17"/>
      <c r="U10" s="17"/>
      <c r="AA10" s="4"/>
    </row>
    <row r="11" spans="1:31" hidden="1" outlineLevel="1" x14ac:dyDescent="0.25">
      <c r="B11" s="7"/>
      <c r="C11" s="7"/>
      <c r="D11" s="7"/>
      <c r="E11" s="7"/>
      <c r="F11" s="7"/>
      <c r="G11" s="7"/>
      <c r="H11" s="7"/>
      <c r="I11" s="8"/>
      <c r="J11" s="9"/>
      <c r="K11" s="9"/>
      <c r="L11" s="9"/>
      <c r="M11" s="9"/>
      <c r="N11" s="19"/>
      <c r="O11" s="9"/>
      <c r="P11" s="9"/>
      <c r="Q11" s="9"/>
      <c r="R11" s="9"/>
      <c r="S11" s="17"/>
      <c r="T11" s="17"/>
      <c r="U11" s="17"/>
      <c r="AA11" s="4"/>
    </row>
    <row r="12" spans="1:31" s="11" customFormat="1" hidden="1" outlineLevel="1" x14ac:dyDescent="0.25">
      <c r="B12" s="11" t="s">
        <v>20</v>
      </c>
      <c r="C12" s="167"/>
      <c r="D12" s="167"/>
      <c r="E12" s="167"/>
      <c r="F12" s="167"/>
      <c r="G12" s="167"/>
      <c r="H12" s="167"/>
      <c r="I12" s="168">
        <f>'Income Statement'!I15</f>
        <v>500</v>
      </c>
      <c r="J12" s="168">
        <f>'Income Statement'!J15</f>
        <v>615.70000000000005</v>
      </c>
      <c r="K12" s="168">
        <f>'Income Statement'!K15</f>
        <v>712.55</v>
      </c>
      <c r="L12" s="168">
        <f>'Income Statement'!L15</f>
        <v>841</v>
      </c>
      <c r="M12" s="168">
        <f>'Income Statement'!M15</f>
        <v>936.45</v>
      </c>
      <c r="N12" s="169">
        <f>'Income Statement'!N15</f>
        <v>1043.46</v>
      </c>
      <c r="O12" s="168">
        <f>'Income Statement'!O15</f>
        <v>1138.7474999999999</v>
      </c>
      <c r="P12" s="168">
        <f>'Income Statement'!P15</f>
        <v>1215.7991999999999</v>
      </c>
      <c r="Q12" s="168">
        <f>'Income Statement'!Q15</f>
        <v>1259.1790942500002</v>
      </c>
      <c r="R12" s="168">
        <f>'Income Statement'!R15</f>
        <v>1296.9544670775003</v>
      </c>
      <c r="S12" s="17"/>
      <c r="T12" s="17"/>
      <c r="U12" s="17"/>
      <c r="AA12" s="31"/>
    </row>
    <row r="13" spans="1:31" collapsed="1" x14ac:dyDescent="0.25">
      <c r="I13" s="17"/>
      <c r="J13" s="17"/>
      <c r="K13" s="17"/>
      <c r="L13" s="17"/>
      <c r="M13" s="32"/>
      <c r="N13" s="31"/>
      <c r="O13" s="17"/>
      <c r="P13" s="17"/>
      <c r="Q13" s="17"/>
      <c r="R13" s="17"/>
      <c r="S13" s="17"/>
      <c r="T13" s="17"/>
      <c r="U13" s="17"/>
      <c r="AA13" s="4"/>
    </row>
    <row r="14" spans="1:31" x14ac:dyDescent="0.25">
      <c r="B14" s="11" t="s">
        <v>33</v>
      </c>
      <c r="I14" s="6"/>
      <c r="J14" s="6"/>
      <c r="K14" s="6"/>
      <c r="L14" s="6"/>
      <c r="M14" s="6"/>
      <c r="N14" s="15"/>
      <c r="O14" s="6"/>
      <c r="P14" s="6"/>
      <c r="Q14" s="6"/>
      <c r="R14" s="6"/>
      <c r="AA14" s="4"/>
    </row>
    <row r="15" spans="1:31" x14ac:dyDescent="0.25">
      <c r="B15" s="16" t="str">
        <f>'Opex Simplistic Growth'!B15</f>
        <v>Rent</v>
      </c>
      <c r="I15" s="159">
        <f>'Opex Simplistic Growth'!I15</f>
        <v>50</v>
      </c>
      <c r="J15" s="159">
        <f>'Opex Simplistic Growth'!J15</f>
        <v>51</v>
      </c>
      <c r="K15" s="159">
        <f>'Opex Simplistic Growth'!K15</f>
        <v>52</v>
      </c>
      <c r="L15" s="159">
        <f>'Opex Simplistic Growth'!L15</f>
        <v>53.05</v>
      </c>
      <c r="M15" s="159">
        <f>'Opex Simplistic Growth'!M15</f>
        <v>54.1</v>
      </c>
      <c r="N15" s="161"/>
      <c r="O15" s="162"/>
      <c r="P15" s="162"/>
      <c r="Q15" s="162"/>
      <c r="R15" s="162"/>
      <c r="V15" s="64"/>
      <c r="W15" s="64"/>
      <c r="X15" s="64"/>
      <c r="Y15" s="64"/>
      <c r="Z15" s="64"/>
      <c r="AA15" s="123"/>
      <c r="AB15" s="64"/>
      <c r="AC15" s="64"/>
      <c r="AD15" s="64"/>
      <c r="AE15" s="64"/>
    </row>
    <row r="16" spans="1:31" x14ac:dyDescent="0.25">
      <c r="B16" s="16" t="str">
        <f>'Opex Simplistic Growth'!B16</f>
        <v>Salaries and Wages</v>
      </c>
      <c r="I16" s="159">
        <f>'Opex Simplistic Growth'!I16</f>
        <v>150</v>
      </c>
      <c r="J16" s="159">
        <f>'Opex Simplistic Growth'!J16</f>
        <v>160</v>
      </c>
      <c r="K16" s="159">
        <f>'Opex Simplistic Growth'!K16</f>
        <v>175</v>
      </c>
      <c r="L16" s="159">
        <f>'Opex Simplistic Growth'!L16</f>
        <v>265</v>
      </c>
      <c r="M16" s="159">
        <f>'Opex Simplistic Growth'!M16</f>
        <v>275</v>
      </c>
      <c r="N16" s="161"/>
      <c r="O16" s="162"/>
      <c r="P16" s="162"/>
      <c r="Q16" s="162"/>
      <c r="R16" s="162"/>
      <c r="V16" s="64"/>
      <c r="W16" s="64"/>
      <c r="X16" s="64"/>
      <c r="Y16" s="64"/>
      <c r="Z16" s="64"/>
      <c r="AA16" s="123"/>
      <c r="AB16" s="64"/>
      <c r="AC16" s="64"/>
      <c r="AD16" s="64"/>
      <c r="AE16" s="64"/>
    </row>
    <row r="17" spans="2:41" x14ac:dyDescent="0.25">
      <c r="B17" s="16" t="str">
        <f>'Opex Simplistic Growth'!B17</f>
        <v>Utilities</v>
      </c>
      <c r="I17" s="159">
        <f>'Opex Simplistic Growth'!I17</f>
        <v>25</v>
      </c>
      <c r="J17" s="159">
        <f>'Opex Simplistic Growth'!J17</f>
        <v>30</v>
      </c>
      <c r="K17" s="159">
        <f>'Opex Simplistic Growth'!K17</f>
        <v>35</v>
      </c>
      <c r="L17" s="159">
        <f>'Opex Simplistic Growth'!L17</f>
        <v>40</v>
      </c>
      <c r="M17" s="159">
        <f>'Opex Simplistic Growth'!M17</f>
        <v>45</v>
      </c>
      <c r="N17" s="161"/>
      <c r="O17" s="162"/>
      <c r="P17" s="162"/>
      <c r="Q17" s="162"/>
      <c r="R17" s="162"/>
      <c r="V17" s="64"/>
      <c r="W17" s="64"/>
      <c r="X17" s="64"/>
      <c r="Y17" s="64"/>
      <c r="Z17" s="64"/>
      <c r="AA17" s="123"/>
      <c r="AB17" s="64"/>
      <c r="AC17" s="64"/>
      <c r="AD17" s="64"/>
      <c r="AE17" s="64"/>
    </row>
    <row r="18" spans="2:41" hidden="1" outlineLevel="1" x14ac:dyDescent="0.25">
      <c r="B18" s="16" t="str">
        <f>'Opex Simplistic Growth'!B18</f>
        <v>Insert Expense</v>
      </c>
      <c r="I18" s="159">
        <f>'Opex Simplistic Growth'!I18</f>
        <v>0</v>
      </c>
      <c r="J18" s="159">
        <f>'Opex Simplistic Growth'!J18</f>
        <v>0</v>
      </c>
      <c r="K18" s="159">
        <f>'Opex Simplistic Growth'!K18</f>
        <v>0</v>
      </c>
      <c r="L18" s="159">
        <f>'Opex Simplistic Growth'!L18</f>
        <v>0</v>
      </c>
      <c r="M18" s="159">
        <f>'Opex Simplistic Growth'!M18</f>
        <v>0</v>
      </c>
      <c r="N18" s="31"/>
      <c r="O18" s="17"/>
      <c r="P18" s="17"/>
      <c r="Q18" s="17"/>
      <c r="R18" s="17"/>
      <c r="S18" s="17"/>
      <c r="T18" s="17"/>
      <c r="U18" s="17"/>
      <c r="AA18" s="4"/>
    </row>
    <row r="19" spans="2:41" hidden="1" outlineLevel="1" x14ac:dyDescent="0.25">
      <c r="B19" s="16" t="str">
        <f>'Opex Simplistic Growth'!B19</f>
        <v>Insert Expense</v>
      </c>
      <c r="I19" s="159">
        <f>'Opex Simplistic Growth'!I19</f>
        <v>0</v>
      </c>
      <c r="J19" s="159">
        <f>'Opex Simplistic Growth'!J19</f>
        <v>0</v>
      </c>
      <c r="K19" s="159">
        <f>'Opex Simplistic Growth'!K19</f>
        <v>0</v>
      </c>
      <c r="L19" s="159">
        <f>'Opex Simplistic Growth'!L19</f>
        <v>0</v>
      </c>
      <c r="M19" s="159">
        <f>'Opex Simplistic Growth'!M19</f>
        <v>0</v>
      </c>
      <c r="N19" s="31"/>
      <c r="O19" s="17"/>
      <c r="P19" s="17"/>
      <c r="Q19" s="17"/>
      <c r="R19" s="17"/>
      <c r="S19" s="17"/>
      <c r="T19" s="17"/>
      <c r="U19" s="17"/>
      <c r="AA19" s="4"/>
    </row>
    <row r="20" spans="2:41" hidden="1" outlineLevel="1" collapsed="1" x14ac:dyDescent="0.25">
      <c r="B20" s="16" t="str">
        <f>'Opex Simplistic Growth'!B20</f>
        <v>Insert Expense</v>
      </c>
      <c r="I20" s="159">
        <f>'Opex Simplistic Growth'!I20</f>
        <v>0</v>
      </c>
      <c r="J20" s="159">
        <f>'Opex Simplistic Growth'!J20</f>
        <v>0</v>
      </c>
      <c r="K20" s="159">
        <f>'Opex Simplistic Growth'!K20</f>
        <v>0</v>
      </c>
      <c r="L20" s="159">
        <f>'Opex Simplistic Growth'!L20</f>
        <v>0</v>
      </c>
      <c r="M20" s="159">
        <f>'Opex Simplistic Growth'!M20</f>
        <v>0</v>
      </c>
      <c r="N20" s="4"/>
      <c r="O20" s="5"/>
      <c r="P20" s="5"/>
      <c r="Q20" s="5"/>
      <c r="R20" s="5"/>
      <c r="AA20" s="4"/>
    </row>
    <row r="21" spans="2:41" hidden="1" outlineLevel="1" x14ac:dyDescent="0.25">
      <c r="B21" s="16" t="str">
        <f>'Opex Simplistic Growth'!B21</f>
        <v>Insert Expense</v>
      </c>
      <c r="I21" s="159">
        <f>'Opex Simplistic Growth'!I21</f>
        <v>0</v>
      </c>
      <c r="J21" s="159">
        <f>'Opex Simplistic Growth'!J21</f>
        <v>0</v>
      </c>
      <c r="K21" s="159">
        <f>'Opex Simplistic Growth'!K21</f>
        <v>0</v>
      </c>
      <c r="L21" s="159">
        <f>'Opex Simplistic Growth'!L21</f>
        <v>0</v>
      </c>
      <c r="M21" s="159">
        <f>'Opex Simplistic Growth'!M21</f>
        <v>0</v>
      </c>
      <c r="N21" s="4"/>
      <c r="O21" s="5"/>
      <c r="P21" s="5"/>
      <c r="Q21" s="5"/>
      <c r="R21" s="5"/>
      <c r="AA21" s="4"/>
    </row>
    <row r="22" spans="2:41" hidden="1" outlineLevel="1" x14ac:dyDescent="0.25">
      <c r="B22" s="16" t="str">
        <f>'Opex Simplistic Growth'!B22</f>
        <v>Insert Expense</v>
      </c>
      <c r="I22" s="159">
        <f>'Opex Simplistic Growth'!I22</f>
        <v>0</v>
      </c>
      <c r="J22" s="159">
        <f>'Opex Simplistic Growth'!J22</f>
        <v>0</v>
      </c>
      <c r="K22" s="159">
        <f>'Opex Simplistic Growth'!K22</f>
        <v>0</v>
      </c>
      <c r="L22" s="159">
        <f>'Opex Simplistic Growth'!L22</f>
        <v>0</v>
      </c>
      <c r="M22" s="159">
        <f>'Opex Simplistic Growth'!M22</f>
        <v>0</v>
      </c>
      <c r="N22" s="4"/>
      <c r="O22" s="5"/>
      <c r="P22" s="5"/>
      <c r="Q22" s="5"/>
      <c r="R22" s="5"/>
      <c r="AA22" s="4"/>
    </row>
    <row r="23" spans="2:41" hidden="1" outlineLevel="1" x14ac:dyDescent="0.25">
      <c r="B23" s="16" t="str">
        <f>'Opex Simplistic Growth'!B23</f>
        <v>Insert Expense</v>
      </c>
      <c r="I23" s="159">
        <f>'Opex Simplistic Growth'!I23</f>
        <v>0</v>
      </c>
      <c r="J23" s="159">
        <f>'Opex Simplistic Growth'!J23</f>
        <v>0</v>
      </c>
      <c r="K23" s="159">
        <f>'Opex Simplistic Growth'!K23</f>
        <v>0</v>
      </c>
      <c r="L23" s="159">
        <f>'Opex Simplistic Growth'!L23</f>
        <v>0</v>
      </c>
      <c r="M23" s="159">
        <f>'Opex Simplistic Growth'!M23</f>
        <v>0</v>
      </c>
      <c r="N23" s="4"/>
      <c r="O23" s="5"/>
      <c r="P23" s="5"/>
      <c r="Q23" s="5"/>
      <c r="R23" s="5"/>
      <c r="AA23" s="4"/>
    </row>
    <row r="24" spans="2:41" hidden="1" outlineLevel="1" x14ac:dyDescent="0.25">
      <c r="B24" s="16" t="str">
        <f>'Opex Simplistic Growth'!B24</f>
        <v>Insert Expense</v>
      </c>
      <c r="I24" s="159">
        <f>'Opex Simplistic Growth'!I24</f>
        <v>0</v>
      </c>
      <c r="J24" s="159">
        <f>'Opex Simplistic Growth'!J24</f>
        <v>0</v>
      </c>
      <c r="K24" s="159">
        <f>'Opex Simplistic Growth'!K24</f>
        <v>0</v>
      </c>
      <c r="L24" s="159">
        <f>'Opex Simplistic Growth'!L24</f>
        <v>0</v>
      </c>
      <c r="M24" s="159">
        <f>'Opex Simplistic Growth'!M24</f>
        <v>0</v>
      </c>
      <c r="N24" s="4"/>
      <c r="AA24" s="4"/>
    </row>
    <row r="25" spans="2:41" hidden="1" outlineLevel="1" x14ac:dyDescent="0.25">
      <c r="B25" s="16" t="str">
        <f>'Opex Simplistic Growth'!B25</f>
        <v>Insert Expense</v>
      </c>
      <c r="I25" s="159">
        <f>'Opex Simplistic Growth'!I25</f>
        <v>0</v>
      </c>
      <c r="J25" s="159">
        <f>'Opex Simplistic Growth'!J25</f>
        <v>0</v>
      </c>
      <c r="K25" s="159">
        <f>'Opex Simplistic Growth'!K25</f>
        <v>0</v>
      </c>
      <c r="L25" s="159">
        <f>'Opex Simplistic Growth'!L25</f>
        <v>0</v>
      </c>
      <c r="M25" s="159">
        <f>'Opex Simplistic Growth'!M25</f>
        <v>0</v>
      </c>
      <c r="N25" s="4"/>
      <c r="AA25" s="4"/>
    </row>
    <row r="26" spans="2:41" hidden="1" outlineLevel="1" x14ac:dyDescent="0.25">
      <c r="B26" s="16" t="str">
        <f>'Opex Simplistic Growth'!B26</f>
        <v>Insert Expense</v>
      </c>
      <c r="I26" s="159">
        <f>'Opex Simplistic Growth'!I26</f>
        <v>0</v>
      </c>
      <c r="J26" s="159">
        <f>'Opex Simplistic Growth'!J26</f>
        <v>0</v>
      </c>
      <c r="K26" s="159">
        <f>'Opex Simplistic Growth'!K26</f>
        <v>0</v>
      </c>
      <c r="L26" s="159">
        <f>'Opex Simplistic Growth'!L26</f>
        <v>0</v>
      </c>
      <c r="M26" s="159">
        <f>'Opex Simplistic Growth'!M26</f>
        <v>0</v>
      </c>
      <c r="N26" s="4"/>
      <c r="AA26" s="4"/>
    </row>
    <row r="27" spans="2:41" hidden="1" outlineLevel="1" x14ac:dyDescent="0.25">
      <c r="B27" s="16" t="str">
        <f>'Opex Simplistic Growth'!B27</f>
        <v>Insert Expense</v>
      </c>
      <c r="I27" s="159">
        <f>'Opex Simplistic Growth'!I27</f>
        <v>0</v>
      </c>
      <c r="J27" s="159">
        <f>'Opex Simplistic Growth'!J27</f>
        <v>0</v>
      </c>
      <c r="K27" s="159">
        <f>'Opex Simplistic Growth'!K27</f>
        <v>0</v>
      </c>
      <c r="L27" s="159">
        <f>'Opex Simplistic Growth'!L27</f>
        <v>0</v>
      </c>
      <c r="M27" s="159">
        <f>'Opex Simplistic Growth'!M27</f>
        <v>0</v>
      </c>
      <c r="N27" s="22"/>
      <c r="AA27" s="4"/>
    </row>
    <row r="28" spans="2:41" collapsed="1" x14ac:dyDescent="0.25">
      <c r="B28" s="1" t="s">
        <v>37</v>
      </c>
      <c r="I28" s="65">
        <f>SUM(I15:I27)</f>
        <v>225</v>
      </c>
      <c r="J28" s="65">
        <f>SUM(J15:J27)</f>
        <v>241</v>
      </c>
      <c r="K28" s="65">
        <f>SUM(K15:K27)</f>
        <v>262</v>
      </c>
      <c r="L28" s="65">
        <f>SUM(L15:L27)</f>
        <v>358.05</v>
      </c>
      <c r="M28" s="65">
        <f>SUM(M15:M27)</f>
        <v>374.1</v>
      </c>
      <c r="N28" s="150">
        <f>N9*AA28</f>
        <v>396.00000000000006</v>
      </c>
      <c r="O28" s="65">
        <f t="shared" ref="O28:R28" si="3">O9*AB28</f>
        <v>468.27</v>
      </c>
      <c r="P28" s="65">
        <f t="shared" si="3"/>
        <v>480.50887500000005</v>
      </c>
      <c r="Q28" s="65">
        <f t="shared" si="3"/>
        <v>494.92414125000005</v>
      </c>
      <c r="R28" s="65">
        <f t="shared" si="3"/>
        <v>509.77186548750012</v>
      </c>
      <c r="U28" s="1" t="s">
        <v>82</v>
      </c>
      <c r="V28" s="66">
        <f>I28/I9</f>
        <v>0.22500000000000001</v>
      </c>
      <c r="W28" s="66">
        <f t="shared" ref="W28:Z28" si="4">J28/J9</f>
        <v>0.20083333333333334</v>
      </c>
      <c r="X28" s="66">
        <f t="shared" si="4"/>
        <v>0.18714285714285714</v>
      </c>
      <c r="Y28" s="66">
        <f t="shared" si="4"/>
        <v>0.22378125000000001</v>
      </c>
      <c r="Z28" s="66">
        <f t="shared" si="4"/>
        <v>0.20783333333333334</v>
      </c>
      <c r="AA28" s="165">
        <v>0.2</v>
      </c>
      <c r="AB28" s="166">
        <v>0.22</v>
      </c>
      <c r="AC28" s="166">
        <v>0.215</v>
      </c>
      <c r="AD28" s="166">
        <v>0.215</v>
      </c>
      <c r="AE28" s="166">
        <v>0.215</v>
      </c>
    </row>
    <row r="29" spans="2:41" s="7" customFormat="1" x14ac:dyDescent="0.25">
      <c r="B29" s="7" t="s">
        <v>225</v>
      </c>
      <c r="I29" s="39">
        <f t="shared" ref="I29:N29" si="5">I28/I9</f>
        <v>0.22500000000000001</v>
      </c>
      <c r="J29" s="39">
        <f t="shared" si="5"/>
        <v>0.20083333333333334</v>
      </c>
      <c r="K29" s="39">
        <f t="shared" si="5"/>
        <v>0.18714285714285714</v>
      </c>
      <c r="L29" s="39">
        <f t="shared" si="5"/>
        <v>0.22378125000000001</v>
      </c>
      <c r="M29" s="277">
        <f t="shared" si="5"/>
        <v>0.20783333333333334</v>
      </c>
      <c r="N29" s="39">
        <f t="shared" si="5"/>
        <v>0.2</v>
      </c>
      <c r="O29" s="39">
        <f t="shared" ref="O29:R29" si="6">O28/O9</f>
        <v>0.22</v>
      </c>
      <c r="P29" s="39">
        <f t="shared" si="6"/>
        <v>0.215</v>
      </c>
      <c r="Q29" s="39">
        <f t="shared" si="6"/>
        <v>0.215</v>
      </c>
      <c r="R29" s="39">
        <f t="shared" si="6"/>
        <v>0.215</v>
      </c>
      <c r="AF29" s="273"/>
      <c r="AG29" s="273"/>
      <c r="AH29" s="273"/>
      <c r="AI29" s="273"/>
      <c r="AJ29" s="273"/>
      <c r="AK29" s="274"/>
      <c r="AL29" s="275"/>
      <c r="AM29" s="275"/>
      <c r="AN29" s="275"/>
      <c r="AO29" s="275"/>
    </row>
    <row r="30" spans="2:41" s="7" customFormat="1" x14ac:dyDescent="0.25">
      <c r="B30" s="7" t="s">
        <v>226</v>
      </c>
      <c r="I30" s="97" t="s">
        <v>3</v>
      </c>
      <c r="J30" s="39">
        <f t="shared" ref="J30:R30" si="7">J28/I28-1</f>
        <v>7.1111111111111125E-2</v>
      </c>
      <c r="K30" s="39">
        <f t="shared" si="7"/>
        <v>8.7136929460580825E-2</v>
      </c>
      <c r="L30" s="39">
        <f t="shared" si="7"/>
        <v>0.36660305343511457</v>
      </c>
      <c r="M30" s="278">
        <f t="shared" si="7"/>
        <v>4.4826141600335268E-2</v>
      </c>
      <c r="N30" s="39">
        <f t="shared" si="7"/>
        <v>5.854049719326393E-2</v>
      </c>
      <c r="O30" s="39">
        <f t="shared" si="7"/>
        <v>0.18249999999999988</v>
      </c>
      <c r="P30" s="39">
        <f t="shared" si="7"/>
        <v>2.6136363636363846E-2</v>
      </c>
      <c r="Q30" s="39">
        <f t="shared" si="7"/>
        <v>3.0000000000000027E-2</v>
      </c>
      <c r="R30" s="39">
        <f t="shared" si="7"/>
        <v>3.0000000000000249E-2</v>
      </c>
      <c r="AF30" s="273"/>
      <c r="AG30" s="273"/>
      <c r="AH30" s="273"/>
      <c r="AI30" s="273"/>
      <c r="AJ30" s="273"/>
      <c r="AK30" s="274"/>
      <c r="AL30" s="275"/>
      <c r="AM30" s="275"/>
      <c r="AN30" s="275"/>
      <c r="AO30" s="275"/>
    </row>
    <row r="31" spans="2:41" x14ac:dyDescent="0.25">
      <c r="I31" s="64"/>
      <c r="J31" s="64"/>
      <c r="K31" s="64"/>
      <c r="L31" s="64"/>
      <c r="M31" s="276"/>
      <c r="N31" s="64"/>
      <c r="O31" s="64"/>
      <c r="P31" s="64"/>
      <c r="Q31" s="64"/>
      <c r="R31" s="64"/>
    </row>
    <row r="32" spans="2:41" x14ac:dyDescent="0.25">
      <c r="B32" s="11" t="s">
        <v>38</v>
      </c>
      <c r="C32" s="11"/>
      <c r="D32" s="11"/>
      <c r="E32" s="11"/>
      <c r="F32" s="11"/>
      <c r="G32" s="11"/>
      <c r="H32" s="11"/>
      <c r="I32" s="67">
        <f>I12-I28</f>
        <v>275</v>
      </c>
      <c r="J32" s="67">
        <f t="shared" ref="J32:R32" si="8">J12-J28</f>
        <v>374.70000000000005</v>
      </c>
      <c r="K32" s="67">
        <f t="shared" si="8"/>
        <v>450.54999999999995</v>
      </c>
      <c r="L32" s="67">
        <f t="shared" si="8"/>
        <v>482.95</v>
      </c>
      <c r="M32" s="67">
        <f t="shared" si="8"/>
        <v>562.35</v>
      </c>
      <c r="N32" s="50">
        <f t="shared" si="8"/>
        <v>647.46</v>
      </c>
      <c r="O32" s="67">
        <f t="shared" si="8"/>
        <v>670.47749999999996</v>
      </c>
      <c r="P32" s="67">
        <f t="shared" si="8"/>
        <v>735.29032499999994</v>
      </c>
      <c r="Q32" s="67">
        <f t="shared" si="8"/>
        <v>764.25495300000011</v>
      </c>
      <c r="R32" s="67">
        <f t="shared" si="8"/>
        <v>787.18260159000022</v>
      </c>
    </row>
    <row r="33" spans="2:18" s="7" customFormat="1" ht="15.75" thickBot="1" x14ac:dyDescent="0.3">
      <c r="B33" s="7" t="s">
        <v>39</v>
      </c>
      <c r="I33" s="68">
        <f t="shared" ref="I33:R33" si="9">I32/I9</f>
        <v>0.27500000000000002</v>
      </c>
      <c r="J33" s="68">
        <f t="shared" si="9"/>
        <v>0.31225000000000003</v>
      </c>
      <c r="K33" s="68">
        <f t="shared" si="9"/>
        <v>0.32182142857142854</v>
      </c>
      <c r="L33" s="68">
        <f t="shared" si="9"/>
        <v>0.30184374999999997</v>
      </c>
      <c r="M33" s="69">
        <f t="shared" si="9"/>
        <v>0.31241666666666668</v>
      </c>
      <c r="N33" s="68">
        <f t="shared" si="9"/>
        <v>0.32699999999999996</v>
      </c>
      <c r="O33" s="68">
        <f t="shared" si="9"/>
        <v>0.315</v>
      </c>
      <c r="P33" s="68">
        <f t="shared" si="9"/>
        <v>0.32899999999999996</v>
      </c>
      <c r="Q33" s="68">
        <f t="shared" si="9"/>
        <v>0.33200000000000002</v>
      </c>
      <c r="R33" s="68">
        <f t="shared" si="9"/>
        <v>0.33200000000000002</v>
      </c>
    </row>
    <row r="34" spans="2:18" ht="15.75" thickTop="1" x14ac:dyDescent="0.25">
      <c r="P34" s="64"/>
      <c r="Q34" s="64"/>
      <c r="R34" s="64"/>
    </row>
  </sheetData>
  <pageMargins left="0.7" right="0.7" top="0.75" bottom="0.75" header="0.3" footer="0.3"/>
  <pageSetup scale="85" orientation="landscape" horizontalDpi="1200" verticalDpi="1200" r:id="rId1"/>
  <colBreaks count="1" manualBreakCount="1">
    <brk id="19" max="3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B0BD-1F0A-4307-B9B8-57675D58A025}">
  <sheetPr>
    <tabColor theme="7" tint="0.59999389629810485"/>
  </sheetPr>
  <dimension ref="A1:AV34"/>
  <sheetViews>
    <sheetView view="pageBreakPreview" zoomScale="130" zoomScaleNormal="130" zoomScaleSheetLayoutView="130" workbookViewId="0">
      <selection activeCell="A5" sqref="A5"/>
    </sheetView>
  </sheetViews>
  <sheetFormatPr defaultRowHeight="15" outlineLevelRow="1" x14ac:dyDescent="0.25"/>
  <cols>
    <col min="1" max="1" width="2.85546875" style="1" customWidth="1"/>
    <col min="2" max="2" width="24.28515625" style="1" customWidth="1"/>
    <col min="3" max="8" width="2.7109375" style="1" customWidth="1"/>
    <col min="9" max="12" width="9.85546875" style="1" bestFit="1" customWidth="1"/>
    <col min="13" max="13" width="9.140625" style="1" customWidth="1"/>
    <col min="14" max="18" width="10.140625" style="1" bestFit="1" customWidth="1"/>
    <col min="19" max="20" width="2.85546875" style="1" customWidth="1"/>
    <col min="21" max="21" width="21.42578125" style="1" customWidth="1"/>
    <col min="22" max="23" width="15.5703125" style="1" customWidth="1"/>
    <col min="24" max="28" width="9.140625" style="1" customWidth="1"/>
    <col min="29" max="29" width="2.5703125" style="1" customWidth="1"/>
    <col min="30" max="30" width="28.5703125" style="1" customWidth="1"/>
    <col min="31" max="35" width="9.140625" style="1"/>
    <col min="36" max="36" width="2.5703125" style="1" customWidth="1"/>
    <col min="37" max="37" width="28.5703125" style="1" customWidth="1"/>
    <col min="38" max="42" width="9.140625" style="1"/>
    <col min="43" max="43" width="2.85546875" style="1" customWidth="1"/>
    <col min="44" max="45" width="9.140625" style="1"/>
    <col min="46" max="46" width="18.5703125" style="1" bestFit="1" customWidth="1"/>
    <col min="47" max="47" width="9.140625" style="1"/>
    <col min="48" max="48" width="16.85546875" style="1" bestFit="1" customWidth="1"/>
    <col min="49" max="16384" width="9.140625" style="1"/>
  </cols>
  <sheetData>
    <row r="1" spans="1:48" x14ac:dyDescent="0.25">
      <c r="A1" s="11" t="s">
        <v>215</v>
      </c>
      <c r="B1" s="11"/>
      <c r="C1" s="11"/>
      <c r="D1" s="11"/>
      <c r="E1" s="11"/>
      <c r="F1" s="11"/>
      <c r="G1" s="11"/>
      <c r="H1" s="11"/>
      <c r="AT1" s="272" t="s">
        <v>220</v>
      </c>
      <c r="AV1" s="272" t="s">
        <v>223</v>
      </c>
    </row>
    <row r="2" spans="1:48" x14ac:dyDescent="0.25">
      <c r="AT2" s="270" t="s">
        <v>219</v>
      </c>
      <c r="AV2" s="270" t="s">
        <v>24</v>
      </c>
    </row>
    <row r="3" spans="1:48" x14ac:dyDescent="0.25">
      <c r="AT3" s="270" t="s">
        <v>221</v>
      </c>
      <c r="AV3" s="270" t="s">
        <v>224</v>
      </c>
    </row>
    <row r="4" spans="1:48" ht="15.75" thickBot="1" x14ac:dyDescent="0.3">
      <c r="B4" s="11"/>
      <c r="AD4" s="11"/>
      <c r="AK4" s="11"/>
      <c r="AT4" s="271" t="s">
        <v>222</v>
      </c>
      <c r="AV4" s="271" t="s">
        <v>32</v>
      </c>
    </row>
    <row r="5" spans="1:48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20" t="s">
        <v>227</v>
      </c>
      <c r="AF5" s="120"/>
      <c r="AG5" s="120"/>
      <c r="AH5" s="120"/>
      <c r="AI5" s="120"/>
      <c r="AJ5" s="11"/>
      <c r="AK5" s="11"/>
      <c r="AL5" s="120" t="s">
        <v>228</v>
      </c>
      <c r="AM5" s="120"/>
      <c r="AN5" s="120"/>
      <c r="AO5" s="120"/>
      <c r="AP5" s="120"/>
    </row>
    <row r="6" spans="1:48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53" t="str">
        <f>'Income Statement'!M6</f>
        <v>12/31</v>
      </c>
      <c r="N6" s="146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  <c r="U6" s="5"/>
      <c r="V6" s="5"/>
      <c r="W6" s="5"/>
      <c r="X6" s="120" t="s">
        <v>2</v>
      </c>
      <c r="Y6" s="269"/>
      <c r="Z6" s="269"/>
      <c r="AA6" s="269"/>
      <c r="AB6" s="269"/>
      <c r="AC6" s="5"/>
      <c r="AD6" s="5"/>
      <c r="AE6" s="153" t="str">
        <f t="shared" ref="AE6:AI7" si="0">I6</f>
        <v>12/31</v>
      </c>
      <c r="AF6" s="121" t="str">
        <f t="shared" si="0"/>
        <v>12/31</v>
      </c>
      <c r="AG6" s="121" t="str">
        <f t="shared" si="0"/>
        <v>12/31</v>
      </c>
      <c r="AH6" s="121" t="str">
        <f t="shared" si="0"/>
        <v>12/31</v>
      </c>
      <c r="AI6" s="121" t="str">
        <f t="shared" si="0"/>
        <v>12/31</v>
      </c>
      <c r="AJ6" s="5"/>
      <c r="AK6" s="5"/>
      <c r="AL6" s="153" t="str">
        <f>AE6</f>
        <v>12/31</v>
      </c>
      <c r="AM6" s="153" t="str">
        <f t="shared" ref="AM6:AP6" si="1">AF6</f>
        <v>12/31</v>
      </c>
      <c r="AN6" s="153" t="str">
        <f t="shared" si="1"/>
        <v>12/31</v>
      </c>
      <c r="AO6" s="153" t="str">
        <f t="shared" si="1"/>
        <v>12/31</v>
      </c>
      <c r="AP6" s="153" t="str">
        <f t="shared" si="1"/>
        <v>12/31</v>
      </c>
    </row>
    <row r="7" spans="1:48" x14ac:dyDescent="0.25">
      <c r="I7" s="263">
        <f>'Income Statement'!I7</f>
        <v>2016</v>
      </c>
      <c r="J7" s="263">
        <f>'Income Statement'!J7</f>
        <v>2017</v>
      </c>
      <c r="K7" s="263">
        <f>'Income Statement'!K7</f>
        <v>2018</v>
      </c>
      <c r="L7" s="263">
        <f>'Income Statement'!L7</f>
        <v>2019</v>
      </c>
      <c r="M7" s="263">
        <f>'Income Statement'!M7</f>
        <v>2020</v>
      </c>
      <c r="N7" s="262">
        <f>'Income Statement'!N7</f>
        <v>2021</v>
      </c>
      <c r="O7" s="263">
        <f>'Income Statement'!O7</f>
        <v>2022</v>
      </c>
      <c r="P7" s="263">
        <f>'Income Statement'!P7</f>
        <v>2023</v>
      </c>
      <c r="Q7" s="263">
        <f>'Income Statement'!Q7</f>
        <v>2024</v>
      </c>
      <c r="R7" s="263">
        <f>'Income Statement'!R7</f>
        <v>2025</v>
      </c>
      <c r="S7" s="17"/>
      <c r="T7" s="17"/>
      <c r="U7" s="263" t="s">
        <v>216</v>
      </c>
      <c r="V7" s="263" t="s">
        <v>217</v>
      </c>
      <c r="W7" s="263" t="s">
        <v>218</v>
      </c>
      <c r="X7" s="263">
        <f>N7</f>
        <v>2021</v>
      </c>
      <c r="Y7" s="263">
        <f>O7</f>
        <v>2022</v>
      </c>
      <c r="Z7" s="263">
        <f>P7</f>
        <v>2023</v>
      </c>
      <c r="AA7" s="263">
        <f>Q7</f>
        <v>2024</v>
      </c>
      <c r="AB7" s="263">
        <f>R7</f>
        <v>2025</v>
      </c>
      <c r="AC7" s="17"/>
      <c r="AD7" s="2" t="s">
        <v>216</v>
      </c>
      <c r="AE7" s="263">
        <f t="shared" si="0"/>
        <v>2016</v>
      </c>
      <c r="AF7" s="263">
        <f t="shared" si="0"/>
        <v>2017</v>
      </c>
      <c r="AG7" s="263">
        <f t="shared" si="0"/>
        <v>2018</v>
      </c>
      <c r="AH7" s="263">
        <f t="shared" si="0"/>
        <v>2019</v>
      </c>
      <c r="AI7" s="263">
        <f t="shared" si="0"/>
        <v>2020</v>
      </c>
      <c r="AJ7" s="17"/>
      <c r="AK7" s="2" t="s">
        <v>216</v>
      </c>
      <c r="AL7" s="263">
        <f>AE7</f>
        <v>2016</v>
      </c>
      <c r="AM7" s="263">
        <f t="shared" ref="AM7:AP7" si="2">AF7</f>
        <v>2017</v>
      </c>
      <c r="AN7" s="263">
        <f t="shared" si="2"/>
        <v>2018</v>
      </c>
      <c r="AO7" s="263">
        <f t="shared" si="2"/>
        <v>2019</v>
      </c>
      <c r="AP7" s="263">
        <f t="shared" si="2"/>
        <v>2020</v>
      </c>
    </row>
    <row r="8" spans="1:48" hidden="1" outlineLevel="1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J8" s="17"/>
      <c r="AK8" s="17"/>
    </row>
    <row r="9" spans="1:48" hidden="1" outlineLevel="1" x14ac:dyDescent="0.25">
      <c r="B9" s="11" t="s">
        <v>19</v>
      </c>
      <c r="C9" s="11"/>
      <c r="D9" s="11"/>
      <c r="E9" s="11"/>
      <c r="F9" s="11"/>
      <c r="G9" s="11"/>
      <c r="H9" s="11"/>
      <c r="I9" s="154">
        <f>'Income Statement'!I9</f>
        <v>1000</v>
      </c>
      <c r="J9" s="154">
        <f>'Income Statement'!J9</f>
        <v>1200</v>
      </c>
      <c r="K9" s="154">
        <f>'Income Statement'!K9</f>
        <v>1400</v>
      </c>
      <c r="L9" s="154">
        <f>'Income Statement'!L9</f>
        <v>1600</v>
      </c>
      <c r="M9" s="154">
        <f>'Income Statement'!M9</f>
        <v>1800</v>
      </c>
      <c r="N9" s="155">
        <f>'Income Statement'!N9</f>
        <v>1980.0000000000002</v>
      </c>
      <c r="O9" s="154">
        <f>'Income Statement'!O9</f>
        <v>2128.5</v>
      </c>
      <c r="P9" s="154">
        <f>'Income Statement'!P9</f>
        <v>2234.9250000000002</v>
      </c>
      <c r="Q9" s="154">
        <f>'Income Statement'!Q9</f>
        <v>2301.9727500000004</v>
      </c>
      <c r="R9" s="154">
        <f>'Income Statement'!R9</f>
        <v>2371.0319325000005</v>
      </c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J9" s="17"/>
      <c r="AK9" s="17"/>
    </row>
    <row r="10" spans="1:48" hidden="1" outlineLevel="1" x14ac:dyDescent="0.25">
      <c r="B10" s="7" t="s">
        <v>24</v>
      </c>
      <c r="C10" s="7"/>
      <c r="D10" s="7"/>
      <c r="E10" s="7"/>
      <c r="F10" s="7"/>
      <c r="G10" s="7"/>
      <c r="H10" s="7"/>
      <c r="I10" s="8" t="s">
        <v>3</v>
      </c>
      <c r="J10" s="9">
        <f>J9/I9-1</f>
        <v>0.19999999999999996</v>
      </c>
      <c r="K10" s="9">
        <f t="shared" ref="K10:R10" si="3">K9/J9-1</f>
        <v>0.16666666666666674</v>
      </c>
      <c r="L10" s="9">
        <f t="shared" si="3"/>
        <v>0.14285714285714279</v>
      </c>
      <c r="M10" s="9">
        <f t="shared" si="3"/>
        <v>0.125</v>
      </c>
      <c r="N10" s="19">
        <f t="shared" si="3"/>
        <v>0.10000000000000009</v>
      </c>
      <c r="O10" s="9">
        <f t="shared" si="3"/>
        <v>7.4999999999999956E-2</v>
      </c>
      <c r="P10" s="9">
        <f t="shared" si="3"/>
        <v>5.0000000000000044E-2</v>
      </c>
      <c r="Q10" s="9">
        <f t="shared" si="3"/>
        <v>3.0000000000000027E-2</v>
      </c>
      <c r="R10" s="9">
        <f t="shared" si="3"/>
        <v>3.0000000000000027E-2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J10" s="17"/>
      <c r="AK10" s="17"/>
    </row>
    <row r="11" spans="1:48" hidden="1" outlineLevel="1" x14ac:dyDescent="0.25">
      <c r="B11" s="7"/>
      <c r="C11" s="7"/>
      <c r="D11" s="7"/>
      <c r="E11" s="7"/>
      <c r="F11" s="7"/>
      <c r="G11" s="7"/>
      <c r="H11" s="7"/>
      <c r="I11" s="8"/>
      <c r="J11" s="9"/>
      <c r="K11" s="9"/>
      <c r="L11" s="9"/>
      <c r="M11" s="9"/>
      <c r="N11" s="19"/>
      <c r="O11" s="9"/>
      <c r="P11" s="9"/>
      <c r="Q11" s="9"/>
      <c r="R11" s="9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J11" s="17"/>
      <c r="AK11" s="17"/>
    </row>
    <row r="12" spans="1:48" s="11" customFormat="1" hidden="1" outlineLevel="1" x14ac:dyDescent="0.25">
      <c r="B12" s="11" t="s">
        <v>20</v>
      </c>
      <c r="C12" s="167"/>
      <c r="D12" s="167"/>
      <c r="E12" s="167"/>
      <c r="F12" s="167"/>
      <c r="G12" s="167"/>
      <c r="H12" s="167"/>
      <c r="I12" s="168">
        <f>'Income Statement'!I15</f>
        <v>500</v>
      </c>
      <c r="J12" s="168">
        <f>'Income Statement'!J15</f>
        <v>615.70000000000005</v>
      </c>
      <c r="K12" s="168">
        <f>'Income Statement'!K15</f>
        <v>712.55</v>
      </c>
      <c r="L12" s="168">
        <f>'Income Statement'!L15</f>
        <v>841</v>
      </c>
      <c r="M12" s="168">
        <f>'Income Statement'!M15</f>
        <v>936.45</v>
      </c>
      <c r="N12" s="169">
        <f>'Income Statement'!N15</f>
        <v>1043.46</v>
      </c>
      <c r="O12" s="168">
        <f>'Income Statement'!O15</f>
        <v>1138.7474999999999</v>
      </c>
      <c r="P12" s="168">
        <f>'Income Statement'!P15</f>
        <v>1215.7991999999999</v>
      </c>
      <c r="Q12" s="168">
        <f>'Income Statement'!Q15</f>
        <v>1259.1790942500002</v>
      </c>
      <c r="R12" s="168">
        <f>'Income Statement'!R15</f>
        <v>1296.9544670775003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J12" s="17"/>
      <c r="AK12" s="17"/>
    </row>
    <row r="13" spans="1:48" hidden="1" outlineLevel="1" collapsed="1" x14ac:dyDescent="0.25">
      <c r="I13" s="17"/>
      <c r="J13" s="17"/>
      <c r="K13" s="17"/>
      <c r="L13" s="17"/>
      <c r="M13" s="32"/>
      <c r="N13" s="31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J13" s="17"/>
      <c r="AK13" s="17"/>
    </row>
    <row r="14" spans="1:48" collapsed="1" x14ac:dyDescent="0.25">
      <c r="B14" s="11" t="s">
        <v>33</v>
      </c>
      <c r="I14" s="6"/>
      <c r="J14" s="6"/>
      <c r="K14" s="6"/>
      <c r="L14" s="6"/>
      <c r="M14" s="6"/>
      <c r="N14" s="15"/>
      <c r="O14" s="6"/>
      <c r="P14" s="6"/>
      <c r="Q14" s="6"/>
      <c r="R14" s="6"/>
    </row>
    <row r="15" spans="1:48" x14ac:dyDescent="0.25">
      <c r="B15" s="16" t="str">
        <f>'Opex Simplistic Growth'!B15</f>
        <v>Rent</v>
      </c>
      <c r="I15" s="159">
        <f>'Opex Simplistic Growth'!I15</f>
        <v>50</v>
      </c>
      <c r="J15" s="159">
        <f>'Opex Simplistic Growth'!J15</f>
        <v>51</v>
      </c>
      <c r="K15" s="159">
        <f>'Opex Simplistic Growth'!K15</f>
        <v>52</v>
      </c>
      <c r="L15" s="159">
        <f>'Opex Simplistic Growth'!L15</f>
        <v>53.05</v>
      </c>
      <c r="M15" s="159">
        <f>'Opex Simplistic Growth'!M15</f>
        <v>54.1</v>
      </c>
      <c r="N15" s="74">
        <f t="shared" ref="N15:N27" si="4">IF($W15=$AV$2,M15*(1+X15),IF($W15=$AV$4,X15*N$9,X15))</f>
        <v>55.182000000000002</v>
      </c>
      <c r="O15" s="75">
        <f t="shared" ref="O15:O27" si="5">IF($W15=$AV$2,N15*(1+Y15),IF($W15=$AV$4,Y15*O$9,Y15))</f>
        <v>56.285640000000001</v>
      </c>
      <c r="P15" s="75">
        <f t="shared" ref="P15:P27" si="6">IF($W15=$AV$2,O15*(1+Z15),IF($W15=$AV$4,Z15*P$9,Z15))</f>
        <v>57.411352800000003</v>
      </c>
      <c r="Q15" s="75">
        <f t="shared" ref="Q15:Q27" si="7">IF($W15=$AV$2,P15*(1+AA15),IF($W15=$AV$4,AA15*Q$9,AA15))</f>
        <v>58.559579856000006</v>
      </c>
      <c r="R15" s="75">
        <f t="shared" ref="R15:R27" si="8">IF($W15=$AV$2,Q15*(1+AB15),IF($W15=$AV$4,AB15*R$9,AB15))</f>
        <v>59.730771453120006</v>
      </c>
      <c r="U15" s="1" t="str">
        <f>B15</f>
        <v>Rent</v>
      </c>
      <c r="V15" s="1" t="s">
        <v>219</v>
      </c>
      <c r="W15" s="1" t="str">
        <f>IF(V15=$AT$2,$AV$2,IF(V15=$AT$3,$AV$3,$AV$4))</f>
        <v>Growth Rate</v>
      </c>
      <c r="X15" s="18">
        <v>0.02</v>
      </c>
      <c r="Y15" s="18">
        <v>0.02</v>
      </c>
      <c r="Z15" s="18">
        <v>0.02</v>
      </c>
      <c r="AA15" s="18">
        <v>0.02</v>
      </c>
      <c r="AB15" s="18">
        <v>0.02</v>
      </c>
      <c r="AD15" s="1" t="str">
        <f>U15</f>
        <v>Rent</v>
      </c>
      <c r="AE15" s="66">
        <f t="shared" ref="AE15:AE27" si="9">I15/$I$9</f>
        <v>0.05</v>
      </c>
      <c r="AF15" s="66">
        <f t="shared" ref="AF15:AF27" si="10">J15/$J$9</f>
        <v>4.2500000000000003E-2</v>
      </c>
      <c r="AG15" s="66">
        <f t="shared" ref="AG15:AG27" si="11">K15/$K$9</f>
        <v>3.7142857142857144E-2</v>
      </c>
      <c r="AH15" s="66">
        <f t="shared" ref="AH15:AH27" si="12">L15/$L$9</f>
        <v>3.3156249999999998E-2</v>
      </c>
      <c r="AI15" s="66">
        <f t="shared" ref="AI15:AI27" si="13">M15/$M$9</f>
        <v>3.0055555555555558E-2</v>
      </c>
      <c r="AK15" s="1" t="str">
        <f>AD15</f>
        <v>Rent</v>
      </c>
      <c r="AL15" s="66" t="s">
        <v>3</v>
      </c>
      <c r="AM15" s="66">
        <f>J15/I15-1</f>
        <v>2.0000000000000018E-2</v>
      </c>
      <c r="AN15" s="66">
        <f t="shared" ref="AN15:AP15" si="14">K15/J15-1</f>
        <v>1.9607843137254832E-2</v>
      </c>
      <c r="AO15" s="66">
        <f t="shared" si="14"/>
        <v>2.0192307692307621E-2</v>
      </c>
      <c r="AP15" s="66">
        <f t="shared" si="14"/>
        <v>1.9792648444863392E-2</v>
      </c>
    </row>
    <row r="16" spans="1:48" x14ac:dyDescent="0.25">
      <c r="B16" s="16" t="str">
        <f>'Opex Simplistic Growth'!B16</f>
        <v>Salaries and Wages</v>
      </c>
      <c r="I16" s="159">
        <f>'Opex Simplistic Growth'!I16</f>
        <v>150</v>
      </c>
      <c r="J16" s="159">
        <f>'Opex Simplistic Growth'!J16</f>
        <v>160</v>
      </c>
      <c r="K16" s="159">
        <f>'Opex Simplistic Growth'!K16</f>
        <v>175</v>
      </c>
      <c r="L16" s="159">
        <f>'Opex Simplistic Growth'!L16</f>
        <v>265</v>
      </c>
      <c r="M16" s="159">
        <f>'Opex Simplistic Growth'!M16</f>
        <v>275</v>
      </c>
      <c r="N16" s="74">
        <f t="shared" si="4"/>
        <v>297</v>
      </c>
      <c r="O16" s="75">
        <f t="shared" si="5"/>
        <v>362</v>
      </c>
      <c r="P16" s="75">
        <f t="shared" si="6"/>
        <v>369.24</v>
      </c>
      <c r="Q16" s="75">
        <f t="shared" si="7"/>
        <v>380.31720000000001</v>
      </c>
      <c r="R16" s="75">
        <f t="shared" si="8"/>
        <v>391.72671600000001</v>
      </c>
      <c r="U16" s="1" t="str">
        <f>B16</f>
        <v>Salaries and Wages</v>
      </c>
      <c r="V16" s="1" t="s">
        <v>221</v>
      </c>
      <c r="W16" s="1" t="str">
        <f t="shared" ref="W16:W27" si="15">IF(V16=$AT$2,$AV$2,IF(V16=$AT$3,$AV$3,$AV$4))</f>
        <v>Custom</v>
      </c>
      <c r="X16" s="140">
        <f>M16*(1+8%)</f>
        <v>297</v>
      </c>
      <c r="Y16" s="280">
        <f>X16+65</f>
        <v>362</v>
      </c>
      <c r="Z16" s="140">
        <f>Y16*(1+2%)</f>
        <v>369.24</v>
      </c>
      <c r="AA16" s="140">
        <f>Z16*(1+3%)</f>
        <v>380.31720000000001</v>
      </c>
      <c r="AB16" s="140">
        <f>AA16*(1+3%)</f>
        <v>391.72671600000001</v>
      </c>
      <c r="AD16" s="1" t="str">
        <f>U16</f>
        <v>Salaries and Wages</v>
      </c>
      <c r="AE16" s="66">
        <f t="shared" si="9"/>
        <v>0.15</v>
      </c>
      <c r="AF16" s="66">
        <f t="shared" si="10"/>
        <v>0.13333333333333333</v>
      </c>
      <c r="AG16" s="66">
        <f t="shared" si="11"/>
        <v>0.125</v>
      </c>
      <c r="AH16" s="66">
        <f t="shared" si="12"/>
        <v>0.16562499999999999</v>
      </c>
      <c r="AI16" s="66">
        <f t="shared" si="13"/>
        <v>0.15277777777777779</v>
      </c>
      <c r="AK16" s="1" t="str">
        <f>AD16</f>
        <v>Salaries and Wages</v>
      </c>
      <c r="AL16" s="66" t="s">
        <v>3</v>
      </c>
      <c r="AM16" s="66">
        <f t="shared" ref="AM16:AM27" si="16">J16/I16-1</f>
        <v>6.6666666666666652E-2</v>
      </c>
      <c r="AN16" s="66">
        <f t="shared" ref="AN16:AN28" si="17">K16/J16-1</f>
        <v>9.375E-2</v>
      </c>
      <c r="AO16" s="66">
        <f t="shared" ref="AO16:AO28" si="18">L16/K16-1</f>
        <v>0.51428571428571423</v>
      </c>
      <c r="AP16" s="66">
        <f t="shared" ref="AP16:AP28" si="19">M16/L16-1</f>
        <v>3.7735849056603765E-2</v>
      </c>
    </row>
    <row r="17" spans="2:43" x14ac:dyDescent="0.25">
      <c r="B17" s="16" t="str">
        <f>'Opex Simplistic Growth'!B17</f>
        <v>Utilities</v>
      </c>
      <c r="I17" s="159">
        <f>'Opex Simplistic Growth'!I17</f>
        <v>25</v>
      </c>
      <c r="J17" s="159">
        <f>'Opex Simplistic Growth'!J17</f>
        <v>30</v>
      </c>
      <c r="K17" s="159">
        <f>'Opex Simplistic Growth'!K17</f>
        <v>35</v>
      </c>
      <c r="L17" s="159">
        <f>'Opex Simplistic Growth'!L17</f>
        <v>40</v>
      </c>
      <c r="M17" s="159">
        <f>'Opex Simplistic Growth'!M17</f>
        <v>45</v>
      </c>
      <c r="N17" s="74">
        <f t="shared" si="4"/>
        <v>49.500000000000007</v>
      </c>
      <c r="O17" s="75">
        <f t="shared" si="5"/>
        <v>53.212500000000006</v>
      </c>
      <c r="P17" s="75">
        <f t="shared" si="6"/>
        <v>55.873125000000009</v>
      </c>
      <c r="Q17" s="75">
        <f t="shared" si="7"/>
        <v>57.549318750000012</v>
      </c>
      <c r="R17" s="75">
        <f t="shared" si="8"/>
        <v>59.275798312500015</v>
      </c>
      <c r="U17" s="1" t="str">
        <f>B17</f>
        <v>Utilities</v>
      </c>
      <c r="V17" s="1" t="s">
        <v>222</v>
      </c>
      <c r="W17" s="1" t="str">
        <f t="shared" si="15"/>
        <v>% of Revenue</v>
      </c>
      <c r="X17" s="18">
        <v>2.5000000000000001E-2</v>
      </c>
      <c r="Y17" s="18">
        <v>2.5000000000000001E-2</v>
      </c>
      <c r="Z17" s="18">
        <v>2.5000000000000001E-2</v>
      </c>
      <c r="AA17" s="18">
        <v>2.5000000000000001E-2</v>
      </c>
      <c r="AB17" s="18">
        <v>2.5000000000000001E-2</v>
      </c>
      <c r="AD17" s="1" t="str">
        <f>U17</f>
        <v>Utilities</v>
      </c>
      <c r="AE17" s="66">
        <f t="shared" si="9"/>
        <v>2.5000000000000001E-2</v>
      </c>
      <c r="AF17" s="66">
        <f t="shared" si="10"/>
        <v>2.5000000000000001E-2</v>
      </c>
      <c r="AG17" s="66">
        <f t="shared" si="11"/>
        <v>2.5000000000000001E-2</v>
      </c>
      <c r="AH17" s="66">
        <f t="shared" si="12"/>
        <v>2.5000000000000001E-2</v>
      </c>
      <c r="AI17" s="66">
        <f t="shared" si="13"/>
        <v>2.5000000000000001E-2</v>
      </c>
      <c r="AK17" s="1" t="str">
        <f>AD17</f>
        <v>Utilities</v>
      </c>
      <c r="AL17" s="66" t="s">
        <v>3</v>
      </c>
      <c r="AM17" s="66">
        <f t="shared" si="16"/>
        <v>0.19999999999999996</v>
      </c>
      <c r="AN17" s="66">
        <f t="shared" si="17"/>
        <v>0.16666666666666674</v>
      </c>
      <c r="AO17" s="66">
        <f t="shared" si="18"/>
        <v>0.14285714285714279</v>
      </c>
      <c r="AP17" s="66">
        <f t="shared" si="19"/>
        <v>0.125</v>
      </c>
    </row>
    <row r="18" spans="2:43" hidden="1" outlineLevel="1" x14ac:dyDescent="0.25">
      <c r="B18" s="16" t="str">
        <f>'Opex Simplistic Growth'!B18</f>
        <v>Insert Expense</v>
      </c>
      <c r="I18" s="159">
        <f>'Opex Simplistic Growth'!I18</f>
        <v>0</v>
      </c>
      <c r="J18" s="159">
        <f>'Opex Simplistic Growth'!J18</f>
        <v>0</v>
      </c>
      <c r="K18" s="159">
        <f>'Opex Simplistic Growth'!K18</f>
        <v>0</v>
      </c>
      <c r="L18" s="159">
        <f>'Opex Simplistic Growth'!L18</f>
        <v>0</v>
      </c>
      <c r="M18" s="159">
        <f>'Opex Simplistic Growth'!M18</f>
        <v>0</v>
      </c>
      <c r="N18" s="74">
        <f t="shared" si="4"/>
        <v>0</v>
      </c>
      <c r="O18" s="75">
        <f t="shared" si="5"/>
        <v>0</v>
      </c>
      <c r="P18" s="75">
        <f t="shared" si="6"/>
        <v>0</v>
      </c>
      <c r="Q18" s="75">
        <f t="shared" si="7"/>
        <v>0</v>
      </c>
      <c r="R18" s="75">
        <f t="shared" si="8"/>
        <v>0</v>
      </c>
      <c r="S18" s="17"/>
      <c r="T18" s="17"/>
      <c r="U18" s="1" t="str">
        <f t="shared" ref="U18:U27" si="20">B18</f>
        <v>Insert Expense</v>
      </c>
      <c r="V18" s="1" t="s">
        <v>219</v>
      </c>
      <c r="W18" s="1" t="str">
        <f t="shared" si="15"/>
        <v>Growth Rate</v>
      </c>
      <c r="X18" s="17"/>
      <c r="Y18" s="17"/>
      <c r="Z18" s="17"/>
      <c r="AA18" s="17"/>
      <c r="AB18" s="17"/>
      <c r="AC18" s="17"/>
      <c r="AD18" s="1" t="str">
        <f t="shared" ref="AD18:AD27" si="21">U18</f>
        <v>Insert Expense</v>
      </c>
      <c r="AE18" s="66">
        <f t="shared" si="9"/>
        <v>0</v>
      </c>
      <c r="AF18" s="66">
        <f t="shared" si="10"/>
        <v>0</v>
      </c>
      <c r="AG18" s="66">
        <f t="shared" si="11"/>
        <v>0</v>
      </c>
      <c r="AH18" s="66">
        <f t="shared" si="12"/>
        <v>0</v>
      </c>
      <c r="AI18" s="66">
        <f t="shared" si="13"/>
        <v>0</v>
      </c>
      <c r="AJ18" s="17"/>
      <c r="AK18" s="1" t="str">
        <f t="shared" ref="AK18:AK27" si="22">AD18</f>
        <v>Insert Expense</v>
      </c>
      <c r="AL18" s="66" t="s">
        <v>3</v>
      </c>
      <c r="AM18" s="66" t="e">
        <f t="shared" si="16"/>
        <v>#DIV/0!</v>
      </c>
      <c r="AN18" s="66" t="e">
        <f t="shared" si="17"/>
        <v>#DIV/0!</v>
      </c>
      <c r="AO18" s="66" t="e">
        <f t="shared" si="18"/>
        <v>#DIV/0!</v>
      </c>
      <c r="AP18" s="66" t="e">
        <f t="shared" si="19"/>
        <v>#DIV/0!</v>
      </c>
    </row>
    <row r="19" spans="2:43" hidden="1" outlineLevel="1" x14ac:dyDescent="0.25">
      <c r="B19" s="16" t="str">
        <f>'Opex Simplistic Growth'!B19</f>
        <v>Insert Expense</v>
      </c>
      <c r="I19" s="159">
        <f>'Opex Simplistic Growth'!I19</f>
        <v>0</v>
      </c>
      <c r="J19" s="159">
        <f>'Opex Simplistic Growth'!J19</f>
        <v>0</v>
      </c>
      <c r="K19" s="159">
        <f>'Opex Simplistic Growth'!K19</f>
        <v>0</v>
      </c>
      <c r="L19" s="159">
        <f>'Opex Simplistic Growth'!L19</f>
        <v>0</v>
      </c>
      <c r="M19" s="159">
        <f>'Opex Simplistic Growth'!M19</f>
        <v>0</v>
      </c>
      <c r="N19" s="74">
        <f t="shared" si="4"/>
        <v>0</v>
      </c>
      <c r="O19" s="75">
        <f t="shared" si="5"/>
        <v>0</v>
      </c>
      <c r="P19" s="75">
        <f t="shared" si="6"/>
        <v>0</v>
      </c>
      <c r="Q19" s="75">
        <f t="shared" si="7"/>
        <v>0</v>
      </c>
      <c r="R19" s="75">
        <f t="shared" si="8"/>
        <v>0</v>
      </c>
      <c r="S19" s="17"/>
      <c r="T19" s="17"/>
      <c r="U19" s="1" t="str">
        <f t="shared" si="20"/>
        <v>Insert Expense</v>
      </c>
      <c r="V19" s="1" t="s">
        <v>219</v>
      </c>
      <c r="W19" s="1" t="str">
        <f t="shared" si="15"/>
        <v>Growth Rate</v>
      </c>
      <c r="X19" s="17"/>
      <c r="Y19" s="17"/>
      <c r="Z19" s="17"/>
      <c r="AA19" s="17"/>
      <c r="AB19" s="17"/>
      <c r="AC19" s="17"/>
      <c r="AD19" s="1" t="str">
        <f t="shared" si="21"/>
        <v>Insert Expense</v>
      </c>
      <c r="AE19" s="66">
        <f t="shared" si="9"/>
        <v>0</v>
      </c>
      <c r="AF19" s="66">
        <f t="shared" si="10"/>
        <v>0</v>
      </c>
      <c r="AG19" s="66">
        <f t="shared" si="11"/>
        <v>0</v>
      </c>
      <c r="AH19" s="66">
        <f t="shared" si="12"/>
        <v>0</v>
      </c>
      <c r="AI19" s="66">
        <f t="shared" si="13"/>
        <v>0</v>
      </c>
      <c r="AJ19" s="17"/>
      <c r="AK19" s="1" t="str">
        <f t="shared" si="22"/>
        <v>Insert Expense</v>
      </c>
      <c r="AL19" s="66" t="s">
        <v>3</v>
      </c>
      <c r="AM19" s="66" t="e">
        <f t="shared" si="16"/>
        <v>#DIV/0!</v>
      </c>
      <c r="AN19" s="66" t="e">
        <f t="shared" si="17"/>
        <v>#DIV/0!</v>
      </c>
      <c r="AO19" s="66" t="e">
        <f t="shared" si="18"/>
        <v>#DIV/0!</v>
      </c>
      <c r="AP19" s="66" t="e">
        <f t="shared" si="19"/>
        <v>#DIV/0!</v>
      </c>
    </row>
    <row r="20" spans="2:43" hidden="1" outlineLevel="1" collapsed="1" x14ac:dyDescent="0.25">
      <c r="B20" s="16" t="str">
        <f>'Opex Simplistic Growth'!B20</f>
        <v>Insert Expense</v>
      </c>
      <c r="I20" s="159">
        <f>'Opex Simplistic Growth'!I20</f>
        <v>0</v>
      </c>
      <c r="J20" s="159">
        <f>'Opex Simplistic Growth'!J20</f>
        <v>0</v>
      </c>
      <c r="K20" s="159">
        <f>'Opex Simplistic Growth'!K20</f>
        <v>0</v>
      </c>
      <c r="L20" s="159">
        <f>'Opex Simplistic Growth'!L20</f>
        <v>0</v>
      </c>
      <c r="M20" s="159">
        <f>'Opex Simplistic Growth'!M20</f>
        <v>0</v>
      </c>
      <c r="N20" s="74">
        <f t="shared" si="4"/>
        <v>0</v>
      </c>
      <c r="O20" s="75">
        <f t="shared" si="5"/>
        <v>0</v>
      </c>
      <c r="P20" s="75">
        <f t="shared" si="6"/>
        <v>0</v>
      </c>
      <c r="Q20" s="75">
        <f t="shared" si="7"/>
        <v>0</v>
      </c>
      <c r="R20" s="75">
        <f t="shared" si="8"/>
        <v>0</v>
      </c>
      <c r="U20" s="1" t="str">
        <f t="shared" si="20"/>
        <v>Insert Expense</v>
      </c>
      <c r="V20" s="1" t="s">
        <v>219</v>
      </c>
      <c r="W20" s="1" t="str">
        <f t="shared" si="15"/>
        <v>Growth Rate</v>
      </c>
      <c r="AD20" s="1" t="str">
        <f t="shared" si="21"/>
        <v>Insert Expense</v>
      </c>
      <c r="AE20" s="66">
        <f t="shared" si="9"/>
        <v>0</v>
      </c>
      <c r="AF20" s="66">
        <f t="shared" si="10"/>
        <v>0</v>
      </c>
      <c r="AG20" s="66">
        <f t="shared" si="11"/>
        <v>0</v>
      </c>
      <c r="AH20" s="66">
        <f t="shared" si="12"/>
        <v>0</v>
      </c>
      <c r="AI20" s="66">
        <f t="shared" si="13"/>
        <v>0</v>
      </c>
      <c r="AK20" s="1" t="str">
        <f t="shared" si="22"/>
        <v>Insert Expense</v>
      </c>
      <c r="AL20" s="66" t="s">
        <v>3</v>
      </c>
      <c r="AM20" s="66" t="e">
        <f t="shared" si="16"/>
        <v>#DIV/0!</v>
      </c>
      <c r="AN20" s="66" t="e">
        <f t="shared" si="17"/>
        <v>#DIV/0!</v>
      </c>
      <c r="AO20" s="66" t="e">
        <f t="shared" si="18"/>
        <v>#DIV/0!</v>
      </c>
      <c r="AP20" s="66" t="e">
        <f t="shared" si="19"/>
        <v>#DIV/0!</v>
      </c>
    </row>
    <row r="21" spans="2:43" hidden="1" outlineLevel="1" x14ac:dyDescent="0.25">
      <c r="B21" s="16" t="str">
        <f>'Opex Simplistic Growth'!B21</f>
        <v>Insert Expense</v>
      </c>
      <c r="I21" s="159">
        <f>'Opex Simplistic Growth'!I21</f>
        <v>0</v>
      </c>
      <c r="J21" s="159">
        <f>'Opex Simplistic Growth'!J21</f>
        <v>0</v>
      </c>
      <c r="K21" s="159">
        <f>'Opex Simplistic Growth'!K21</f>
        <v>0</v>
      </c>
      <c r="L21" s="159">
        <f>'Opex Simplistic Growth'!L21</f>
        <v>0</v>
      </c>
      <c r="M21" s="159">
        <f>'Opex Simplistic Growth'!M21</f>
        <v>0</v>
      </c>
      <c r="N21" s="74">
        <f t="shared" si="4"/>
        <v>0</v>
      </c>
      <c r="O21" s="75">
        <f t="shared" si="5"/>
        <v>0</v>
      </c>
      <c r="P21" s="75">
        <f t="shared" si="6"/>
        <v>0</v>
      </c>
      <c r="Q21" s="75">
        <f t="shared" si="7"/>
        <v>0</v>
      </c>
      <c r="R21" s="75">
        <f t="shared" si="8"/>
        <v>0</v>
      </c>
      <c r="U21" s="1" t="str">
        <f t="shared" si="20"/>
        <v>Insert Expense</v>
      </c>
      <c r="V21" s="1" t="s">
        <v>219</v>
      </c>
      <c r="W21" s="1" t="str">
        <f t="shared" si="15"/>
        <v>Growth Rate</v>
      </c>
      <c r="AD21" s="1" t="str">
        <f t="shared" si="21"/>
        <v>Insert Expense</v>
      </c>
      <c r="AE21" s="66">
        <f t="shared" si="9"/>
        <v>0</v>
      </c>
      <c r="AF21" s="66">
        <f t="shared" si="10"/>
        <v>0</v>
      </c>
      <c r="AG21" s="66">
        <f t="shared" si="11"/>
        <v>0</v>
      </c>
      <c r="AH21" s="66">
        <f t="shared" si="12"/>
        <v>0</v>
      </c>
      <c r="AI21" s="66">
        <f t="shared" si="13"/>
        <v>0</v>
      </c>
      <c r="AK21" s="1" t="str">
        <f t="shared" si="22"/>
        <v>Insert Expense</v>
      </c>
      <c r="AL21" s="66" t="s">
        <v>3</v>
      </c>
      <c r="AM21" s="66" t="e">
        <f t="shared" si="16"/>
        <v>#DIV/0!</v>
      </c>
      <c r="AN21" s="66" t="e">
        <f t="shared" si="17"/>
        <v>#DIV/0!</v>
      </c>
      <c r="AO21" s="66" t="e">
        <f t="shared" si="18"/>
        <v>#DIV/0!</v>
      </c>
      <c r="AP21" s="66" t="e">
        <f t="shared" si="19"/>
        <v>#DIV/0!</v>
      </c>
    </row>
    <row r="22" spans="2:43" hidden="1" outlineLevel="1" x14ac:dyDescent="0.25">
      <c r="B22" s="16" t="str">
        <f>'Opex Simplistic Growth'!B22</f>
        <v>Insert Expense</v>
      </c>
      <c r="I22" s="159">
        <f>'Opex Simplistic Growth'!I22</f>
        <v>0</v>
      </c>
      <c r="J22" s="159">
        <f>'Opex Simplistic Growth'!J22</f>
        <v>0</v>
      </c>
      <c r="K22" s="159">
        <f>'Opex Simplistic Growth'!K22</f>
        <v>0</v>
      </c>
      <c r="L22" s="159">
        <f>'Opex Simplistic Growth'!L22</f>
        <v>0</v>
      </c>
      <c r="M22" s="159">
        <f>'Opex Simplistic Growth'!M22</f>
        <v>0</v>
      </c>
      <c r="N22" s="74">
        <f t="shared" si="4"/>
        <v>0</v>
      </c>
      <c r="O22" s="75">
        <f t="shared" si="5"/>
        <v>0</v>
      </c>
      <c r="P22" s="75">
        <f t="shared" si="6"/>
        <v>0</v>
      </c>
      <c r="Q22" s="75">
        <f t="shared" si="7"/>
        <v>0</v>
      </c>
      <c r="R22" s="75">
        <f t="shared" si="8"/>
        <v>0</v>
      </c>
      <c r="U22" s="1" t="str">
        <f t="shared" si="20"/>
        <v>Insert Expense</v>
      </c>
      <c r="V22" s="1" t="s">
        <v>219</v>
      </c>
      <c r="W22" s="1" t="str">
        <f t="shared" si="15"/>
        <v>Growth Rate</v>
      </c>
      <c r="AD22" s="1" t="str">
        <f t="shared" si="21"/>
        <v>Insert Expense</v>
      </c>
      <c r="AE22" s="66">
        <f t="shared" si="9"/>
        <v>0</v>
      </c>
      <c r="AF22" s="66">
        <f t="shared" si="10"/>
        <v>0</v>
      </c>
      <c r="AG22" s="66">
        <f t="shared" si="11"/>
        <v>0</v>
      </c>
      <c r="AH22" s="66">
        <f t="shared" si="12"/>
        <v>0</v>
      </c>
      <c r="AI22" s="66">
        <f t="shared" si="13"/>
        <v>0</v>
      </c>
      <c r="AK22" s="1" t="str">
        <f t="shared" si="22"/>
        <v>Insert Expense</v>
      </c>
      <c r="AL22" s="66" t="s">
        <v>3</v>
      </c>
      <c r="AM22" s="66" t="e">
        <f t="shared" si="16"/>
        <v>#DIV/0!</v>
      </c>
      <c r="AN22" s="66" t="e">
        <f t="shared" si="17"/>
        <v>#DIV/0!</v>
      </c>
      <c r="AO22" s="66" t="e">
        <f t="shared" si="18"/>
        <v>#DIV/0!</v>
      </c>
      <c r="AP22" s="66" t="e">
        <f t="shared" si="19"/>
        <v>#DIV/0!</v>
      </c>
    </row>
    <row r="23" spans="2:43" hidden="1" outlineLevel="1" x14ac:dyDescent="0.25">
      <c r="B23" s="16" t="str">
        <f>'Opex Simplistic Growth'!B23</f>
        <v>Insert Expense</v>
      </c>
      <c r="I23" s="159">
        <f>'Opex Simplistic Growth'!I23</f>
        <v>0</v>
      </c>
      <c r="J23" s="159">
        <f>'Opex Simplistic Growth'!J23</f>
        <v>0</v>
      </c>
      <c r="K23" s="159">
        <f>'Opex Simplistic Growth'!K23</f>
        <v>0</v>
      </c>
      <c r="L23" s="159">
        <f>'Opex Simplistic Growth'!L23</f>
        <v>0</v>
      </c>
      <c r="M23" s="159">
        <f>'Opex Simplistic Growth'!M23</f>
        <v>0</v>
      </c>
      <c r="N23" s="74">
        <f t="shared" si="4"/>
        <v>0</v>
      </c>
      <c r="O23" s="75">
        <f t="shared" si="5"/>
        <v>0</v>
      </c>
      <c r="P23" s="75">
        <f t="shared" si="6"/>
        <v>0</v>
      </c>
      <c r="Q23" s="75">
        <f t="shared" si="7"/>
        <v>0</v>
      </c>
      <c r="R23" s="75">
        <f t="shared" si="8"/>
        <v>0</v>
      </c>
      <c r="U23" s="1" t="str">
        <f t="shared" si="20"/>
        <v>Insert Expense</v>
      </c>
      <c r="V23" s="1" t="s">
        <v>219</v>
      </c>
      <c r="W23" s="1" t="str">
        <f t="shared" si="15"/>
        <v>Growth Rate</v>
      </c>
      <c r="AD23" s="1" t="str">
        <f t="shared" si="21"/>
        <v>Insert Expense</v>
      </c>
      <c r="AE23" s="66">
        <f t="shared" si="9"/>
        <v>0</v>
      </c>
      <c r="AF23" s="66">
        <f t="shared" si="10"/>
        <v>0</v>
      </c>
      <c r="AG23" s="66">
        <f t="shared" si="11"/>
        <v>0</v>
      </c>
      <c r="AH23" s="66">
        <f t="shared" si="12"/>
        <v>0</v>
      </c>
      <c r="AI23" s="66">
        <f t="shared" si="13"/>
        <v>0</v>
      </c>
      <c r="AK23" s="1" t="str">
        <f t="shared" si="22"/>
        <v>Insert Expense</v>
      </c>
      <c r="AL23" s="66" t="s">
        <v>3</v>
      </c>
      <c r="AM23" s="66" t="e">
        <f t="shared" si="16"/>
        <v>#DIV/0!</v>
      </c>
      <c r="AN23" s="66" t="e">
        <f t="shared" si="17"/>
        <v>#DIV/0!</v>
      </c>
      <c r="AO23" s="66" t="e">
        <f t="shared" si="18"/>
        <v>#DIV/0!</v>
      </c>
      <c r="AP23" s="66" t="e">
        <f t="shared" si="19"/>
        <v>#DIV/0!</v>
      </c>
    </row>
    <row r="24" spans="2:43" hidden="1" outlineLevel="1" x14ac:dyDescent="0.25">
      <c r="B24" s="16" t="str">
        <f>'Opex Simplistic Growth'!B24</f>
        <v>Insert Expense</v>
      </c>
      <c r="I24" s="159">
        <f>'Opex Simplistic Growth'!I24</f>
        <v>0</v>
      </c>
      <c r="J24" s="159">
        <f>'Opex Simplistic Growth'!J24</f>
        <v>0</v>
      </c>
      <c r="K24" s="159">
        <f>'Opex Simplistic Growth'!K24</f>
        <v>0</v>
      </c>
      <c r="L24" s="159">
        <f>'Opex Simplistic Growth'!L24</f>
        <v>0</v>
      </c>
      <c r="M24" s="159">
        <f>'Opex Simplistic Growth'!M24</f>
        <v>0</v>
      </c>
      <c r="N24" s="74">
        <f t="shared" si="4"/>
        <v>0</v>
      </c>
      <c r="O24" s="75">
        <f t="shared" si="5"/>
        <v>0</v>
      </c>
      <c r="P24" s="75">
        <f t="shared" si="6"/>
        <v>0</v>
      </c>
      <c r="Q24" s="75">
        <f t="shared" si="7"/>
        <v>0</v>
      </c>
      <c r="R24" s="75">
        <f t="shared" si="8"/>
        <v>0</v>
      </c>
      <c r="U24" s="1" t="str">
        <f t="shared" si="20"/>
        <v>Insert Expense</v>
      </c>
      <c r="V24" s="1" t="s">
        <v>219</v>
      </c>
      <c r="W24" s="1" t="str">
        <f t="shared" si="15"/>
        <v>Growth Rate</v>
      </c>
      <c r="AD24" s="1" t="str">
        <f t="shared" si="21"/>
        <v>Insert Expense</v>
      </c>
      <c r="AE24" s="66">
        <f t="shared" si="9"/>
        <v>0</v>
      </c>
      <c r="AF24" s="66">
        <f t="shared" si="10"/>
        <v>0</v>
      </c>
      <c r="AG24" s="66">
        <f t="shared" si="11"/>
        <v>0</v>
      </c>
      <c r="AH24" s="66">
        <f t="shared" si="12"/>
        <v>0</v>
      </c>
      <c r="AI24" s="66">
        <f t="shared" si="13"/>
        <v>0</v>
      </c>
      <c r="AK24" s="1" t="str">
        <f t="shared" si="22"/>
        <v>Insert Expense</v>
      </c>
      <c r="AL24" s="66" t="s">
        <v>3</v>
      </c>
      <c r="AM24" s="66" t="e">
        <f t="shared" si="16"/>
        <v>#DIV/0!</v>
      </c>
      <c r="AN24" s="66" t="e">
        <f t="shared" si="17"/>
        <v>#DIV/0!</v>
      </c>
      <c r="AO24" s="66" t="e">
        <f t="shared" si="18"/>
        <v>#DIV/0!</v>
      </c>
      <c r="AP24" s="66" t="e">
        <f t="shared" si="19"/>
        <v>#DIV/0!</v>
      </c>
    </row>
    <row r="25" spans="2:43" hidden="1" outlineLevel="1" x14ac:dyDescent="0.25">
      <c r="B25" s="16" t="str">
        <f>'Opex Simplistic Growth'!B25</f>
        <v>Insert Expense</v>
      </c>
      <c r="I25" s="159">
        <f>'Opex Simplistic Growth'!I25</f>
        <v>0</v>
      </c>
      <c r="J25" s="159">
        <f>'Opex Simplistic Growth'!J25</f>
        <v>0</v>
      </c>
      <c r="K25" s="159">
        <f>'Opex Simplistic Growth'!K25</f>
        <v>0</v>
      </c>
      <c r="L25" s="159">
        <f>'Opex Simplistic Growth'!L25</f>
        <v>0</v>
      </c>
      <c r="M25" s="159">
        <f>'Opex Simplistic Growth'!M25</f>
        <v>0</v>
      </c>
      <c r="N25" s="74">
        <f t="shared" si="4"/>
        <v>0</v>
      </c>
      <c r="O25" s="75">
        <f t="shared" si="5"/>
        <v>0</v>
      </c>
      <c r="P25" s="75">
        <f t="shared" si="6"/>
        <v>0</v>
      </c>
      <c r="Q25" s="75">
        <f t="shared" si="7"/>
        <v>0</v>
      </c>
      <c r="R25" s="75">
        <f t="shared" si="8"/>
        <v>0</v>
      </c>
      <c r="U25" s="1" t="str">
        <f t="shared" si="20"/>
        <v>Insert Expense</v>
      </c>
      <c r="V25" s="1" t="s">
        <v>219</v>
      </c>
      <c r="W25" s="1" t="str">
        <f t="shared" si="15"/>
        <v>Growth Rate</v>
      </c>
      <c r="AD25" s="1" t="str">
        <f t="shared" si="21"/>
        <v>Insert Expense</v>
      </c>
      <c r="AE25" s="66">
        <f t="shared" si="9"/>
        <v>0</v>
      </c>
      <c r="AF25" s="66">
        <f t="shared" si="10"/>
        <v>0</v>
      </c>
      <c r="AG25" s="66">
        <f t="shared" si="11"/>
        <v>0</v>
      </c>
      <c r="AH25" s="66">
        <f t="shared" si="12"/>
        <v>0</v>
      </c>
      <c r="AI25" s="66">
        <f t="shared" si="13"/>
        <v>0</v>
      </c>
      <c r="AK25" s="1" t="str">
        <f t="shared" si="22"/>
        <v>Insert Expense</v>
      </c>
      <c r="AL25" s="66" t="s">
        <v>3</v>
      </c>
      <c r="AM25" s="66" t="e">
        <f t="shared" si="16"/>
        <v>#DIV/0!</v>
      </c>
      <c r="AN25" s="66" t="e">
        <f t="shared" si="17"/>
        <v>#DIV/0!</v>
      </c>
      <c r="AO25" s="66" t="e">
        <f t="shared" si="18"/>
        <v>#DIV/0!</v>
      </c>
      <c r="AP25" s="66" t="e">
        <f t="shared" si="19"/>
        <v>#DIV/0!</v>
      </c>
    </row>
    <row r="26" spans="2:43" hidden="1" outlineLevel="1" x14ac:dyDescent="0.25">
      <c r="B26" s="16" t="str">
        <f>'Opex Simplistic Growth'!B26</f>
        <v>Insert Expense</v>
      </c>
      <c r="I26" s="159">
        <f>'Opex Simplistic Growth'!I26</f>
        <v>0</v>
      </c>
      <c r="J26" s="159">
        <f>'Opex Simplistic Growth'!J26</f>
        <v>0</v>
      </c>
      <c r="K26" s="159">
        <f>'Opex Simplistic Growth'!K26</f>
        <v>0</v>
      </c>
      <c r="L26" s="159">
        <f>'Opex Simplistic Growth'!L26</f>
        <v>0</v>
      </c>
      <c r="M26" s="159">
        <f>'Opex Simplistic Growth'!M26</f>
        <v>0</v>
      </c>
      <c r="N26" s="74">
        <f t="shared" si="4"/>
        <v>0</v>
      </c>
      <c r="O26" s="75">
        <f t="shared" si="5"/>
        <v>0</v>
      </c>
      <c r="P26" s="75">
        <f t="shared" si="6"/>
        <v>0</v>
      </c>
      <c r="Q26" s="75">
        <f t="shared" si="7"/>
        <v>0</v>
      </c>
      <c r="R26" s="75">
        <f t="shared" si="8"/>
        <v>0</v>
      </c>
      <c r="U26" s="1" t="str">
        <f t="shared" si="20"/>
        <v>Insert Expense</v>
      </c>
      <c r="V26" s="1" t="s">
        <v>219</v>
      </c>
      <c r="W26" s="1" t="str">
        <f t="shared" si="15"/>
        <v>Growth Rate</v>
      </c>
      <c r="AD26" s="1" t="str">
        <f t="shared" si="21"/>
        <v>Insert Expense</v>
      </c>
      <c r="AE26" s="66">
        <f t="shared" si="9"/>
        <v>0</v>
      </c>
      <c r="AF26" s="66">
        <f t="shared" si="10"/>
        <v>0</v>
      </c>
      <c r="AG26" s="66">
        <f t="shared" si="11"/>
        <v>0</v>
      </c>
      <c r="AH26" s="66">
        <f t="shared" si="12"/>
        <v>0</v>
      </c>
      <c r="AI26" s="66">
        <f t="shared" si="13"/>
        <v>0</v>
      </c>
      <c r="AK26" s="1" t="str">
        <f t="shared" si="22"/>
        <v>Insert Expense</v>
      </c>
      <c r="AL26" s="66" t="s">
        <v>3</v>
      </c>
      <c r="AM26" s="66" t="e">
        <f t="shared" si="16"/>
        <v>#DIV/0!</v>
      </c>
      <c r="AN26" s="66" t="e">
        <f t="shared" si="17"/>
        <v>#DIV/0!</v>
      </c>
      <c r="AO26" s="66" t="e">
        <f t="shared" si="18"/>
        <v>#DIV/0!</v>
      </c>
      <c r="AP26" s="66" t="e">
        <f t="shared" si="19"/>
        <v>#DIV/0!</v>
      </c>
    </row>
    <row r="27" spans="2:43" hidden="1" outlineLevel="1" x14ac:dyDescent="0.25">
      <c r="B27" s="16" t="str">
        <f>'Opex Simplistic Growth'!B27</f>
        <v>Insert Expense</v>
      </c>
      <c r="I27" s="159">
        <f>'Opex Simplistic Growth'!I27</f>
        <v>0</v>
      </c>
      <c r="J27" s="159">
        <f>'Opex Simplistic Growth'!J27</f>
        <v>0</v>
      </c>
      <c r="K27" s="159">
        <f>'Opex Simplistic Growth'!K27</f>
        <v>0</v>
      </c>
      <c r="L27" s="159">
        <f>'Opex Simplistic Growth'!L27</f>
        <v>0</v>
      </c>
      <c r="M27" s="159">
        <f>'Opex Simplistic Growth'!M27</f>
        <v>0</v>
      </c>
      <c r="N27" s="74">
        <f t="shared" si="4"/>
        <v>0</v>
      </c>
      <c r="O27" s="75">
        <f t="shared" si="5"/>
        <v>0</v>
      </c>
      <c r="P27" s="75">
        <f t="shared" si="6"/>
        <v>0</v>
      </c>
      <c r="Q27" s="75">
        <f t="shared" si="7"/>
        <v>0</v>
      </c>
      <c r="R27" s="75">
        <f t="shared" si="8"/>
        <v>0</v>
      </c>
      <c r="U27" s="1" t="str">
        <f t="shared" si="20"/>
        <v>Insert Expense</v>
      </c>
      <c r="V27" s="1" t="s">
        <v>219</v>
      </c>
      <c r="W27" s="1" t="str">
        <f t="shared" si="15"/>
        <v>Growth Rate</v>
      </c>
      <c r="AD27" s="1" t="str">
        <f t="shared" si="21"/>
        <v>Insert Expense</v>
      </c>
      <c r="AE27" s="66">
        <f t="shared" si="9"/>
        <v>0</v>
      </c>
      <c r="AF27" s="66">
        <f t="shared" si="10"/>
        <v>0</v>
      </c>
      <c r="AG27" s="66">
        <f t="shared" si="11"/>
        <v>0</v>
      </c>
      <c r="AH27" s="66">
        <f t="shared" si="12"/>
        <v>0</v>
      </c>
      <c r="AI27" s="66">
        <f t="shared" si="13"/>
        <v>0</v>
      </c>
      <c r="AK27" s="1" t="str">
        <f t="shared" si="22"/>
        <v>Insert Expense</v>
      </c>
      <c r="AL27" s="66" t="s">
        <v>3</v>
      </c>
      <c r="AM27" s="66" t="e">
        <f t="shared" si="16"/>
        <v>#DIV/0!</v>
      </c>
      <c r="AN27" s="66" t="e">
        <f t="shared" si="17"/>
        <v>#DIV/0!</v>
      </c>
      <c r="AO27" s="66" t="e">
        <f t="shared" si="18"/>
        <v>#DIV/0!</v>
      </c>
      <c r="AP27" s="66" t="e">
        <f t="shared" si="19"/>
        <v>#DIV/0!</v>
      </c>
    </row>
    <row r="28" spans="2:43" ht="15.75" collapsed="1" thickBot="1" x14ac:dyDescent="0.3">
      <c r="B28" s="1" t="s">
        <v>37</v>
      </c>
      <c r="I28" s="65">
        <f t="shared" ref="I28:N28" si="23">SUM(I15:I27)</f>
        <v>225</v>
      </c>
      <c r="J28" s="65">
        <f t="shared" si="23"/>
        <v>241</v>
      </c>
      <c r="K28" s="65">
        <f t="shared" si="23"/>
        <v>262</v>
      </c>
      <c r="L28" s="65">
        <f t="shared" si="23"/>
        <v>358.05</v>
      </c>
      <c r="M28" s="65">
        <f t="shared" si="23"/>
        <v>374.1</v>
      </c>
      <c r="N28" s="150">
        <f t="shared" si="23"/>
        <v>401.68200000000002</v>
      </c>
      <c r="O28" s="65">
        <f t="shared" ref="O28:R28" si="24">SUM(O15:O27)</f>
        <v>471.49814000000003</v>
      </c>
      <c r="P28" s="65">
        <f t="shared" si="24"/>
        <v>482.52447780000006</v>
      </c>
      <c r="Q28" s="65">
        <f t="shared" si="24"/>
        <v>496.42609860600004</v>
      </c>
      <c r="R28" s="65">
        <f t="shared" si="24"/>
        <v>510.73328576562</v>
      </c>
      <c r="AD28" s="11" t="s">
        <v>37</v>
      </c>
      <c r="AE28" s="279">
        <f>I28/$I$9</f>
        <v>0.22500000000000001</v>
      </c>
      <c r="AF28" s="279">
        <f>J28/$J$9</f>
        <v>0.20083333333333334</v>
      </c>
      <c r="AG28" s="279">
        <f>K28/$K$9</f>
        <v>0.18714285714285714</v>
      </c>
      <c r="AH28" s="279">
        <f>L28/$L$9</f>
        <v>0.22378125000000001</v>
      </c>
      <c r="AI28" s="279">
        <f>M28/$M$9</f>
        <v>0.20783333333333334</v>
      </c>
      <c r="AK28" s="11" t="s">
        <v>37</v>
      </c>
      <c r="AL28" s="279" t="s">
        <v>3</v>
      </c>
      <c r="AM28" s="279">
        <f>J28/I28-1</f>
        <v>7.1111111111111125E-2</v>
      </c>
      <c r="AN28" s="279">
        <f t="shared" si="17"/>
        <v>8.7136929460580825E-2</v>
      </c>
      <c r="AO28" s="279">
        <f t="shared" si="18"/>
        <v>0.36660305343511457</v>
      </c>
      <c r="AP28" s="279">
        <f t="shared" si="19"/>
        <v>4.4826141600335268E-2</v>
      </c>
      <c r="AQ28" s="5"/>
    </row>
    <row r="29" spans="2:43" s="7" customFormat="1" ht="15.75" thickTop="1" x14ac:dyDescent="0.25">
      <c r="B29" s="7" t="s">
        <v>225</v>
      </c>
      <c r="I29" s="39">
        <f t="shared" ref="I29:N29" si="25">I28/I9</f>
        <v>0.22500000000000001</v>
      </c>
      <c r="J29" s="39">
        <f t="shared" si="25"/>
        <v>0.20083333333333334</v>
      </c>
      <c r="K29" s="39">
        <f t="shared" si="25"/>
        <v>0.18714285714285714</v>
      </c>
      <c r="L29" s="39">
        <f t="shared" si="25"/>
        <v>0.22378125000000001</v>
      </c>
      <c r="M29" s="277">
        <f t="shared" si="25"/>
        <v>0.20783333333333334</v>
      </c>
      <c r="N29" s="39">
        <f t="shared" si="25"/>
        <v>0.20286969696969695</v>
      </c>
      <c r="O29" s="39">
        <f t="shared" ref="O29:R29" si="26">O28/O9</f>
        <v>0.22151662673244071</v>
      </c>
      <c r="P29" s="39">
        <f t="shared" si="26"/>
        <v>0.21590186596865668</v>
      </c>
      <c r="Q29" s="39">
        <f t="shared" si="26"/>
        <v>0.21565246530655063</v>
      </c>
      <c r="R29" s="39">
        <f t="shared" si="26"/>
        <v>0.2154054860100961</v>
      </c>
      <c r="AE29" s="273"/>
      <c r="AF29" s="273"/>
      <c r="AG29" s="273"/>
      <c r="AH29" s="273"/>
      <c r="AI29" s="273"/>
      <c r="AL29" s="273"/>
      <c r="AM29" s="273"/>
      <c r="AN29" s="273"/>
      <c r="AO29" s="273"/>
      <c r="AP29" s="273"/>
    </row>
    <row r="30" spans="2:43" s="7" customFormat="1" x14ac:dyDescent="0.25">
      <c r="B30" s="7" t="s">
        <v>226</v>
      </c>
      <c r="I30" s="97" t="s">
        <v>3</v>
      </c>
      <c r="J30" s="39">
        <f t="shared" ref="J30:R30" si="27">J28/I28-1</f>
        <v>7.1111111111111125E-2</v>
      </c>
      <c r="K30" s="39">
        <f t="shared" si="27"/>
        <v>8.7136929460580825E-2</v>
      </c>
      <c r="L30" s="39">
        <f t="shared" si="27"/>
        <v>0.36660305343511457</v>
      </c>
      <c r="M30" s="278">
        <f t="shared" si="27"/>
        <v>4.4826141600335268E-2</v>
      </c>
      <c r="N30" s="39">
        <f t="shared" si="27"/>
        <v>7.3728949478748973E-2</v>
      </c>
      <c r="O30" s="39">
        <f t="shared" si="27"/>
        <v>0.17380948113184069</v>
      </c>
      <c r="P30" s="39">
        <f t="shared" si="27"/>
        <v>2.338575036584456E-2</v>
      </c>
      <c r="Q30" s="39">
        <f t="shared" si="27"/>
        <v>2.8810187763701478E-2</v>
      </c>
      <c r="R30" s="39">
        <f t="shared" si="27"/>
        <v>2.8820376688082128E-2</v>
      </c>
      <c r="AE30" s="273"/>
      <c r="AF30" s="273"/>
      <c r="AG30" s="273"/>
      <c r="AH30" s="273"/>
      <c r="AI30" s="273"/>
      <c r="AL30" s="273"/>
      <c r="AM30" s="273"/>
      <c r="AN30" s="273"/>
      <c r="AO30" s="273"/>
      <c r="AP30" s="273"/>
    </row>
    <row r="31" spans="2:43" x14ac:dyDescent="0.25">
      <c r="I31" s="64"/>
      <c r="J31" s="64"/>
      <c r="K31" s="64"/>
      <c r="L31" s="64"/>
      <c r="M31" s="276"/>
      <c r="N31" s="64"/>
      <c r="O31" s="64"/>
      <c r="P31" s="64"/>
      <c r="Q31" s="64"/>
      <c r="R31" s="64"/>
    </row>
    <row r="32" spans="2:43" x14ac:dyDescent="0.25">
      <c r="B32" s="11" t="s">
        <v>38</v>
      </c>
      <c r="C32" s="11"/>
      <c r="D32" s="11"/>
      <c r="E32" s="11"/>
      <c r="F32" s="11"/>
      <c r="G32" s="11"/>
      <c r="H32" s="11"/>
      <c r="I32" s="67">
        <f>I12-I28</f>
        <v>275</v>
      </c>
      <c r="J32" s="67">
        <f t="shared" ref="J32:R32" si="28">J12-J28</f>
        <v>374.70000000000005</v>
      </c>
      <c r="K32" s="67">
        <f t="shared" si="28"/>
        <v>450.54999999999995</v>
      </c>
      <c r="L32" s="67">
        <f t="shared" si="28"/>
        <v>482.95</v>
      </c>
      <c r="M32" s="67">
        <f t="shared" si="28"/>
        <v>562.35</v>
      </c>
      <c r="N32" s="50">
        <f>N12-N28</f>
        <v>641.77800000000002</v>
      </c>
      <c r="O32" s="67">
        <f t="shared" si="28"/>
        <v>667.24935999999991</v>
      </c>
      <c r="P32" s="67">
        <f t="shared" si="28"/>
        <v>733.27472219999981</v>
      </c>
      <c r="Q32" s="67">
        <f t="shared" si="28"/>
        <v>762.75299564400007</v>
      </c>
      <c r="R32" s="67">
        <f t="shared" si="28"/>
        <v>786.2211813118804</v>
      </c>
    </row>
    <row r="33" spans="2:18" s="7" customFormat="1" ht="15.75" thickBot="1" x14ac:dyDescent="0.3">
      <c r="B33" s="7" t="s">
        <v>39</v>
      </c>
      <c r="I33" s="68">
        <f t="shared" ref="I33:R33" si="29">I32/I9</f>
        <v>0.27500000000000002</v>
      </c>
      <c r="J33" s="68">
        <f t="shared" si="29"/>
        <v>0.31225000000000003</v>
      </c>
      <c r="K33" s="68">
        <f t="shared" si="29"/>
        <v>0.32182142857142854</v>
      </c>
      <c r="L33" s="68">
        <f t="shared" si="29"/>
        <v>0.30184374999999997</v>
      </c>
      <c r="M33" s="69">
        <f t="shared" si="29"/>
        <v>0.31241666666666668</v>
      </c>
      <c r="N33" s="68">
        <f t="shared" si="29"/>
        <v>0.32413030303030299</v>
      </c>
      <c r="O33" s="68">
        <f t="shared" si="29"/>
        <v>0.31348337326755926</v>
      </c>
      <c r="P33" s="68">
        <f t="shared" si="29"/>
        <v>0.32809813403134325</v>
      </c>
      <c r="Q33" s="68">
        <f t="shared" si="29"/>
        <v>0.3313475346934493</v>
      </c>
      <c r="R33" s="68">
        <f t="shared" si="29"/>
        <v>0.33159451398990397</v>
      </c>
    </row>
    <row r="34" spans="2:18" ht="15.75" thickTop="1" x14ac:dyDescent="0.25">
      <c r="P34" s="64"/>
      <c r="Q34" s="64"/>
      <c r="R34" s="64"/>
    </row>
  </sheetData>
  <dataValidations count="1">
    <dataValidation type="list" allowBlank="1" showInputMessage="1" showErrorMessage="1" sqref="V15:V27" xr:uid="{20F7419B-870B-4FAD-8554-03BC9F9CA9EB}">
      <formula1>$AT$2:$AT$4</formula1>
    </dataValidation>
  </dataValidations>
  <pageMargins left="0.7" right="0.7" top="0.75" bottom="0.75" header="0.3" footer="0.3"/>
  <pageSetup scale="65" orientation="landscape" horizontalDpi="1200" verticalDpi="1200" r:id="rId1"/>
  <colBreaks count="1" manualBreakCount="1">
    <brk id="19" max="3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D026-D0AF-4A50-A526-A1289CAEFCDB}">
  <sheetPr>
    <tabColor rgb="FFFF0000"/>
  </sheetPr>
  <dimension ref="A1"/>
  <sheetViews>
    <sheetView workbookViewId="0">
      <selection activeCell="M35" sqref="M35"/>
    </sheetView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F6D2-5CEE-4D8B-A29F-B5D793EEE476}">
  <sheetPr>
    <tabColor rgb="FFFF0000"/>
  </sheetPr>
  <dimension ref="A1:S32"/>
  <sheetViews>
    <sheetView zoomScaleNormal="100" workbookViewId="0">
      <selection activeCell="B4" sqref="B4"/>
    </sheetView>
  </sheetViews>
  <sheetFormatPr defaultRowHeight="15" outlineLevelRow="1" x14ac:dyDescent="0.25"/>
  <cols>
    <col min="1" max="1" width="2.85546875" style="1" customWidth="1"/>
    <col min="2" max="2" width="24.28515625" style="1" customWidth="1"/>
    <col min="3" max="8" width="2.7109375" style="1" customWidth="1"/>
    <col min="9" max="12" width="9.7109375" style="1" bestFit="1" customWidth="1"/>
    <col min="13" max="13" width="9.140625" style="1" customWidth="1"/>
    <col min="14" max="15" width="9.5703125" style="1" bestFit="1" customWidth="1"/>
    <col min="16" max="18" width="9.7109375" style="1" bestFit="1" customWidth="1"/>
    <col min="19" max="19" width="2.85546875" style="1" customWidth="1"/>
    <col min="20" max="16384" width="9.140625" style="1"/>
  </cols>
  <sheetData>
    <row r="1" spans="1:19" x14ac:dyDescent="0.25">
      <c r="A1" s="11" t="s">
        <v>97</v>
      </c>
      <c r="B1" s="11"/>
      <c r="C1" s="11"/>
      <c r="D1" s="11"/>
      <c r="E1" s="11"/>
      <c r="F1" s="11"/>
      <c r="G1" s="11"/>
      <c r="H1" s="11"/>
    </row>
    <row r="4" spans="1:19" x14ac:dyDescent="0.25">
      <c r="B4" s="11"/>
    </row>
    <row r="5" spans="1:19" x14ac:dyDescent="0.25">
      <c r="B5" s="11"/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9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53" t="str">
        <f>'Income Statement'!M6</f>
        <v>12/31</v>
      </c>
      <c r="N6" s="146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</row>
    <row r="7" spans="1:19" x14ac:dyDescent="0.25">
      <c r="I7" s="78">
        <f>'Income Statement'!I7</f>
        <v>2016</v>
      </c>
      <c r="J7" s="78">
        <f>'Income Statement'!J7</f>
        <v>2017</v>
      </c>
      <c r="K7" s="78">
        <f>'Income Statement'!K7</f>
        <v>2018</v>
      </c>
      <c r="L7" s="78">
        <f>'Income Statement'!L7</f>
        <v>2019</v>
      </c>
      <c r="M7" s="78">
        <f>'Income Statement'!M7</f>
        <v>2020</v>
      </c>
      <c r="N7" s="88">
        <f>'Income Statement'!N7</f>
        <v>2021</v>
      </c>
      <c r="O7" s="78">
        <f>'Income Statement'!O7</f>
        <v>2022</v>
      </c>
      <c r="P7" s="78">
        <f>'Income Statement'!P7</f>
        <v>2023</v>
      </c>
      <c r="Q7" s="78">
        <f>'Income Statement'!Q7</f>
        <v>2024</v>
      </c>
      <c r="R7" s="78">
        <f>'Income Statement'!R7</f>
        <v>2025</v>
      </c>
      <c r="S7" s="17"/>
    </row>
    <row r="8" spans="1:19" hidden="1" outlineLevel="1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  <c r="S8" s="17"/>
    </row>
    <row r="9" spans="1:19" s="11" customFormat="1" hidden="1" outlineLevel="1" x14ac:dyDescent="0.25">
      <c r="I9" s="154"/>
      <c r="J9" s="154"/>
      <c r="K9" s="154"/>
      <c r="L9" s="154"/>
      <c r="M9" s="154"/>
      <c r="N9" s="155"/>
      <c r="O9" s="154"/>
      <c r="P9" s="154"/>
      <c r="Q9" s="154"/>
      <c r="R9" s="154"/>
    </row>
    <row r="10" spans="1:19" s="7" customFormat="1" hidden="1" outlineLevel="1" x14ac:dyDescent="0.25">
      <c r="I10" s="8"/>
      <c r="J10" s="9"/>
      <c r="K10" s="9"/>
      <c r="L10" s="9"/>
      <c r="M10" s="9"/>
      <c r="N10" s="70"/>
      <c r="O10" s="71"/>
      <c r="P10" s="71"/>
      <c r="Q10" s="71"/>
      <c r="R10" s="71"/>
    </row>
    <row r="11" spans="1:19" hidden="1" outlineLevel="1" x14ac:dyDescent="0.25">
      <c r="I11" s="17"/>
      <c r="J11" s="17"/>
      <c r="K11" s="17"/>
      <c r="L11" s="17"/>
      <c r="M11" s="32"/>
      <c r="N11" s="31"/>
      <c r="O11" s="17"/>
      <c r="P11" s="17"/>
      <c r="Q11" s="17"/>
      <c r="R11" s="17"/>
      <c r="S11" s="17"/>
    </row>
    <row r="12" spans="1:19" s="11" customFormat="1" hidden="1" outlineLevel="1" x14ac:dyDescent="0.25">
      <c r="I12" s="154"/>
      <c r="J12" s="154"/>
      <c r="K12" s="154"/>
      <c r="L12" s="154"/>
      <c r="M12" s="154"/>
      <c r="N12" s="155"/>
      <c r="O12" s="154"/>
      <c r="P12" s="154"/>
      <c r="Q12" s="154"/>
      <c r="R12" s="154"/>
    </row>
    <row r="13" spans="1:19" s="7" customFormat="1" hidden="1" outlineLevel="1" x14ac:dyDescent="0.25">
      <c r="I13" s="9"/>
      <c r="J13" s="9"/>
      <c r="K13" s="9"/>
      <c r="L13" s="9"/>
      <c r="M13" s="9"/>
      <c r="N13" s="19"/>
      <c r="O13" s="39"/>
      <c r="P13" s="39"/>
      <c r="Q13" s="39"/>
      <c r="R13" s="39"/>
    </row>
    <row r="14" spans="1:19" hidden="1" outlineLevel="1" x14ac:dyDescent="0.25">
      <c r="N14" s="4"/>
    </row>
    <row r="15" spans="1:19" hidden="1" outlineLevel="1" x14ac:dyDescent="0.25">
      <c r="N15" s="4"/>
    </row>
    <row r="16" spans="1:19" hidden="1" outlineLevel="1" x14ac:dyDescent="0.25">
      <c r="N16" s="4"/>
    </row>
    <row r="17" spans="2:19" hidden="1" outlineLevel="1" x14ac:dyDescent="0.25">
      <c r="N17" s="4"/>
    </row>
    <row r="18" spans="2:19" hidden="1" outlineLevel="1" x14ac:dyDescent="0.25">
      <c r="N18" s="4"/>
    </row>
    <row r="19" spans="2:19" hidden="1" outlineLevel="1" x14ac:dyDescent="0.25">
      <c r="B19" s="183"/>
      <c r="I19" s="162"/>
      <c r="J19" s="162"/>
      <c r="K19" s="162"/>
      <c r="L19" s="162"/>
      <c r="M19" s="162"/>
      <c r="N19" s="74"/>
      <c r="O19" s="75"/>
      <c r="P19" s="75"/>
      <c r="Q19" s="75"/>
      <c r="R19" s="75"/>
    </row>
    <row r="20" spans="2:19" hidden="1" outlineLevel="1" x14ac:dyDescent="0.25">
      <c r="B20" s="183"/>
      <c r="I20" s="162"/>
      <c r="J20" s="162"/>
      <c r="K20" s="162"/>
      <c r="L20" s="162"/>
      <c r="M20" s="162"/>
      <c r="N20" s="74"/>
      <c r="O20" s="75"/>
      <c r="P20" s="75"/>
      <c r="Q20" s="75"/>
      <c r="R20" s="75"/>
    </row>
    <row r="21" spans="2:19" hidden="1" outlineLevel="1" x14ac:dyDescent="0.25">
      <c r="B21" s="183"/>
      <c r="I21" s="162"/>
      <c r="J21" s="162"/>
      <c r="K21" s="162"/>
      <c r="L21" s="162"/>
      <c r="M21" s="162"/>
      <c r="N21" s="74"/>
      <c r="O21" s="75"/>
      <c r="P21" s="75"/>
      <c r="Q21" s="75"/>
      <c r="R21" s="75"/>
    </row>
    <row r="22" spans="2:19" collapsed="1" x14ac:dyDescent="0.25">
      <c r="B22" s="183"/>
      <c r="I22" s="162"/>
      <c r="J22" s="162"/>
      <c r="K22" s="162"/>
      <c r="L22" s="162"/>
      <c r="M22" s="162"/>
      <c r="N22" s="74"/>
      <c r="O22" s="75"/>
      <c r="P22" s="75"/>
      <c r="Q22" s="75"/>
      <c r="R22" s="75"/>
    </row>
    <row r="23" spans="2:19" x14ac:dyDescent="0.25">
      <c r="B23" s="1" t="s">
        <v>90</v>
      </c>
      <c r="I23" s="186"/>
      <c r="J23" s="186"/>
      <c r="K23" s="186"/>
      <c r="L23" s="186"/>
      <c r="M23" s="186"/>
      <c r="N23" s="74">
        <f>Debt!M11</f>
        <v>200</v>
      </c>
      <c r="O23" s="182">
        <f t="shared" ref="O23:R23" si="0">N24</f>
        <v>237.125</v>
      </c>
      <c r="P23" s="182">
        <f t="shared" si="0"/>
        <v>261.25625000000002</v>
      </c>
      <c r="Q23" s="182">
        <f t="shared" si="0"/>
        <v>271.74406250000004</v>
      </c>
      <c r="R23" s="182">
        <f t="shared" si="0"/>
        <v>275.33126562500001</v>
      </c>
    </row>
    <row r="24" spans="2:19" x14ac:dyDescent="0.25">
      <c r="B24" s="1" t="s">
        <v>91</v>
      </c>
      <c r="I24" s="186"/>
      <c r="J24" s="186"/>
      <c r="K24" s="186"/>
      <c r="L24" s="186"/>
      <c r="M24" s="186"/>
      <c r="N24" s="143">
        <f>Debt!N36</f>
        <v>237.125</v>
      </c>
      <c r="O24" s="144">
        <f>Debt!O36</f>
        <v>261.25625000000002</v>
      </c>
      <c r="P24" s="144">
        <f>Debt!P36</f>
        <v>271.74406250000004</v>
      </c>
      <c r="Q24" s="144">
        <f>Debt!Q36</f>
        <v>275.33126562500001</v>
      </c>
      <c r="R24" s="144">
        <f>Debt!R36</f>
        <v>78.668060625000038</v>
      </c>
      <c r="S24" s="186"/>
    </row>
    <row r="25" spans="2:19" x14ac:dyDescent="0.25">
      <c r="B25" s="181" t="s">
        <v>92</v>
      </c>
      <c r="I25" s="75"/>
      <c r="J25" s="75"/>
      <c r="K25" s="75"/>
      <c r="L25" s="75"/>
      <c r="M25" s="75"/>
      <c r="N25" s="74">
        <f t="shared" ref="N25:R25" si="1">AVERAGE(N23:N24)</f>
        <v>218.5625</v>
      </c>
      <c r="O25" s="182">
        <f t="shared" si="1"/>
        <v>249.19062500000001</v>
      </c>
      <c r="P25" s="182">
        <f t="shared" si="1"/>
        <v>266.50015625000003</v>
      </c>
      <c r="Q25" s="182">
        <f t="shared" si="1"/>
        <v>273.53766406250003</v>
      </c>
      <c r="R25" s="182">
        <f t="shared" si="1"/>
        <v>176.99966312500004</v>
      </c>
    </row>
    <row r="26" spans="2:19" x14ac:dyDescent="0.25">
      <c r="B26" s="16"/>
      <c r="I26" s="162"/>
      <c r="J26" s="162"/>
      <c r="K26" s="162"/>
      <c r="L26" s="162"/>
      <c r="M26" s="162"/>
      <c r="N26" s="74"/>
      <c r="O26" s="75"/>
      <c r="P26" s="75"/>
      <c r="Q26" s="75"/>
      <c r="R26" s="75"/>
    </row>
    <row r="27" spans="2:19" x14ac:dyDescent="0.25">
      <c r="B27" s="184" t="s">
        <v>59</v>
      </c>
      <c r="I27" s="185"/>
      <c r="J27" s="185"/>
      <c r="K27" s="185"/>
      <c r="L27" s="185"/>
      <c r="M27" s="185"/>
      <c r="N27" s="237">
        <f>Assumptions!$B$14</f>
        <v>0.05</v>
      </c>
      <c r="O27" s="238">
        <f>Assumptions!$B$15</f>
        <v>0.05</v>
      </c>
      <c r="P27" s="238">
        <f>Assumptions!$B$16</f>
        <v>0.05</v>
      </c>
      <c r="Q27" s="238">
        <f>Assumptions!$B$17</f>
        <v>0.05</v>
      </c>
      <c r="R27" s="238">
        <f>Assumptions!$B$18</f>
        <v>0.05</v>
      </c>
    </row>
    <row r="28" spans="2:19" ht="15.75" thickBot="1" x14ac:dyDescent="0.3">
      <c r="B28" s="11" t="s">
        <v>89</v>
      </c>
      <c r="C28" s="11"/>
      <c r="D28" s="11"/>
      <c r="E28" s="11"/>
      <c r="F28" s="11"/>
      <c r="G28" s="11"/>
      <c r="H28" s="11"/>
      <c r="I28" s="282">
        <v>5</v>
      </c>
      <c r="J28" s="282">
        <v>5</v>
      </c>
      <c r="K28" s="282">
        <v>7.5</v>
      </c>
      <c r="L28" s="282">
        <v>10</v>
      </c>
      <c r="M28" s="282">
        <v>10</v>
      </c>
      <c r="N28" s="283">
        <f t="shared" ref="N28:R28" si="2">N25*N27</f>
        <v>10.928125000000001</v>
      </c>
      <c r="O28" s="284">
        <f t="shared" si="2"/>
        <v>12.459531250000001</v>
      </c>
      <c r="P28" s="284">
        <f t="shared" si="2"/>
        <v>13.325007812500003</v>
      </c>
      <c r="Q28" s="284">
        <f t="shared" si="2"/>
        <v>13.676883203125001</v>
      </c>
      <c r="R28" s="284">
        <f t="shared" si="2"/>
        <v>8.8499831562500031</v>
      </c>
    </row>
    <row r="29" spans="2:19" s="5" customFormat="1" ht="15.75" thickTop="1" x14ac:dyDescent="0.25">
      <c r="I29" s="187"/>
      <c r="J29" s="187"/>
      <c r="K29" s="187"/>
      <c r="L29" s="187"/>
      <c r="M29" s="187"/>
      <c r="N29" s="187"/>
      <c r="O29" s="187"/>
      <c r="P29" s="187"/>
      <c r="Q29" s="187"/>
      <c r="R29" s="187"/>
    </row>
    <row r="30" spans="2:19" s="5" customFormat="1" x14ac:dyDescent="0.25">
      <c r="B30" s="17"/>
      <c r="C30" s="17"/>
      <c r="D30" s="17"/>
      <c r="E30" s="17"/>
      <c r="F30" s="17"/>
      <c r="G30" s="17"/>
      <c r="H30" s="17"/>
      <c r="I30" s="67"/>
      <c r="J30" s="67"/>
      <c r="K30" s="67"/>
      <c r="L30" s="67"/>
      <c r="M30" s="67"/>
      <c r="N30" s="67"/>
      <c r="O30" s="67"/>
      <c r="P30" s="67"/>
      <c r="Q30" s="67"/>
      <c r="R30" s="67"/>
    </row>
    <row r="31" spans="2:19" s="41" customFormat="1" x14ac:dyDescent="0.25"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2:19" s="5" customFormat="1" x14ac:dyDescent="0.25">
      <c r="P32" s="187"/>
      <c r="Q32" s="187"/>
      <c r="R32" s="187"/>
    </row>
  </sheetData>
  <pageMargins left="0.7" right="0.7" top="0.75" bottom="0.75" header="0.3" footer="0.3"/>
  <pageSetup scale="94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A2C4-BBC3-4B24-95F1-309B8AD23BE9}">
  <sheetPr>
    <tabColor rgb="FFFF0000"/>
  </sheetPr>
  <dimension ref="A1:AS60"/>
  <sheetViews>
    <sheetView workbookViewId="0">
      <selection activeCell="AD7" sqref="AD7"/>
    </sheetView>
  </sheetViews>
  <sheetFormatPr defaultColWidth="9.140625" defaultRowHeight="15" x14ac:dyDescent="0.25"/>
  <cols>
    <col min="1" max="1" width="3.140625" style="1" customWidth="1"/>
    <col min="2" max="2" width="2.7109375" style="1" customWidth="1"/>
    <col min="3" max="3" width="13.7109375" style="1" customWidth="1"/>
    <col min="4" max="4" width="22.140625" style="1" customWidth="1"/>
    <col min="5" max="13" width="3.5703125" style="1" customWidth="1"/>
    <col min="14" max="34" width="10.7109375" style="1" customWidth="1"/>
    <col min="35" max="35" width="3.140625" style="1" customWidth="1"/>
    <col min="36" max="36" width="25.7109375" style="1" customWidth="1"/>
    <col min="37" max="38" width="9.140625" style="1"/>
    <col min="39" max="39" width="13" style="1" customWidth="1"/>
    <col min="40" max="40" width="17.140625" style="1" customWidth="1"/>
    <col min="41" max="41" width="3.7109375" style="1" customWidth="1"/>
    <col min="42" max="42" width="16.42578125" style="1" customWidth="1"/>
    <col min="43" max="43" width="3.5703125" style="1" customWidth="1"/>
    <col min="44" max="44" width="25.28515625" style="1" bestFit="1" customWidth="1"/>
    <col min="45" max="16384" width="9.140625" style="1"/>
  </cols>
  <sheetData>
    <row r="1" spans="1:42" s="73" customFormat="1" ht="15" customHeight="1" x14ac:dyDescent="0.25">
      <c r="A1" s="243" t="s">
        <v>201</v>
      </c>
      <c r="N1" s="291" t="s">
        <v>234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</row>
    <row r="2" spans="1:42" s="73" customFormat="1" ht="15" customHeight="1" x14ac:dyDescent="0.25"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</row>
    <row r="3" spans="1:42" s="73" customFormat="1" x14ac:dyDescent="0.25"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</row>
    <row r="4" spans="1:42" s="73" customFormat="1" x14ac:dyDescent="0.25">
      <c r="B4" s="243"/>
    </row>
    <row r="5" spans="1:42" s="73" customFormat="1" x14ac:dyDescent="0.25">
      <c r="B5" s="243"/>
      <c r="N5" s="258" t="s">
        <v>183</v>
      </c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</row>
    <row r="6" spans="1:42" s="73" customFormat="1" x14ac:dyDescent="0.25">
      <c r="N6" s="260" t="str">
        <f>TEXT(NFY,"m/d")</f>
        <v>12/31</v>
      </c>
      <c r="O6" s="260" t="str">
        <f>N6</f>
        <v>12/31</v>
      </c>
      <c r="P6" s="260" t="str">
        <f t="shared" ref="P6:AG6" si="0">O6</f>
        <v>12/31</v>
      </c>
      <c r="Q6" s="260" t="str">
        <f t="shared" si="0"/>
        <v>12/31</v>
      </c>
      <c r="R6" s="260" t="str">
        <f t="shared" si="0"/>
        <v>12/31</v>
      </c>
      <c r="S6" s="260" t="str">
        <f t="shared" si="0"/>
        <v>12/31</v>
      </c>
      <c r="T6" s="260" t="str">
        <f t="shared" si="0"/>
        <v>12/31</v>
      </c>
      <c r="U6" s="260" t="str">
        <f t="shared" si="0"/>
        <v>12/31</v>
      </c>
      <c r="V6" s="260" t="str">
        <f t="shared" si="0"/>
        <v>12/31</v>
      </c>
      <c r="W6" s="260" t="str">
        <f t="shared" si="0"/>
        <v>12/31</v>
      </c>
      <c r="X6" s="260" t="str">
        <f t="shared" si="0"/>
        <v>12/31</v>
      </c>
      <c r="Y6" s="260" t="str">
        <f t="shared" si="0"/>
        <v>12/31</v>
      </c>
      <c r="Z6" s="260" t="str">
        <f t="shared" si="0"/>
        <v>12/31</v>
      </c>
      <c r="AA6" s="260" t="str">
        <f t="shared" si="0"/>
        <v>12/31</v>
      </c>
      <c r="AB6" s="260" t="str">
        <f t="shared" si="0"/>
        <v>12/31</v>
      </c>
      <c r="AC6" s="260" t="str">
        <f t="shared" si="0"/>
        <v>12/31</v>
      </c>
      <c r="AD6" s="260" t="str">
        <f t="shared" si="0"/>
        <v>12/31</v>
      </c>
      <c r="AE6" s="260" t="str">
        <f t="shared" si="0"/>
        <v>12/31</v>
      </c>
      <c r="AF6" s="260" t="str">
        <f t="shared" si="0"/>
        <v>12/31</v>
      </c>
      <c r="AG6" s="260" t="str">
        <f t="shared" si="0"/>
        <v>12/31</v>
      </c>
    </row>
    <row r="7" spans="1:42" s="73" customFormat="1" x14ac:dyDescent="0.25">
      <c r="N7" s="241">
        <f>YEAR(NFY)</f>
        <v>2021</v>
      </c>
      <c r="O7" s="241">
        <f t="shared" ref="O7:AG7" si="1">N7+1</f>
        <v>2022</v>
      </c>
      <c r="P7" s="241">
        <f t="shared" si="1"/>
        <v>2023</v>
      </c>
      <c r="Q7" s="241">
        <f t="shared" si="1"/>
        <v>2024</v>
      </c>
      <c r="R7" s="241">
        <f t="shared" si="1"/>
        <v>2025</v>
      </c>
      <c r="S7" s="241">
        <f t="shared" si="1"/>
        <v>2026</v>
      </c>
      <c r="T7" s="241">
        <f t="shared" si="1"/>
        <v>2027</v>
      </c>
      <c r="U7" s="241">
        <f t="shared" si="1"/>
        <v>2028</v>
      </c>
      <c r="V7" s="241">
        <f t="shared" si="1"/>
        <v>2029</v>
      </c>
      <c r="W7" s="241">
        <f t="shared" si="1"/>
        <v>2030</v>
      </c>
      <c r="X7" s="241">
        <f t="shared" si="1"/>
        <v>2031</v>
      </c>
      <c r="Y7" s="241">
        <f t="shared" si="1"/>
        <v>2032</v>
      </c>
      <c r="Z7" s="241">
        <f t="shared" si="1"/>
        <v>2033</v>
      </c>
      <c r="AA7" s="241">
        <f t="shared" si="1"/>
        <v>2034</v>
      </c>
      <c r="AB7" s="241">
        <f t="shared" si="1"/>
        <v>2035</v>
      </c>
      <c r="AC7" s="241">
        <f t="shared" si="1"/>
        <v>2036</v>
      </c>
      <c r="AD7" s="241">
        <f t="shared" si="1"/>
        <v>2037</v>
      </c>
      <c r="AE7" s="241">
        <f t="shared" si="1"/>
        <v>2038</v>
      </c>
      <c r="AF7" s="241">
        <f t="shared" si="1"/>
        <v>2039</v>
      </c>
      <c r="AG7" s="241">
        <f t="shared" si="1"/>
        <v>2040</v>
      </c>
    </row>
    <row r="8" spans="1:42" s="73" customFormat="1" x14ac:dyDescent="0.25"/>
    <row r="9" spans="1:42" s="73" customFormat="1" x14ac:dyDescent="0.25">
      <c r="A9" s="242"/>
      <c r="B9" s="73" t="s">
        <v>202</v>
      </c>
      <c r="N9" s="25">
        <v>150</v>
      </c>
    </row>
    <row r="10" spans="1:42" s="73" customFormat="1" x14ac:dyDescent="0.25">
      <c r="A10" s="242"/>
      <c r="N10" s="182"/>
    </row>
    <row r="11" spans="1:42" s="73" customFormat="1" x14ac:dyDescent="0.25">
      <c r="B11" s="73" t="str">
        <f>"Tax Depreciation of Existing Personal Property ("&amp;Assumptions!B22&amp;" Depreciable Life)"</f>
        <v>Tax Depreciation of Existing Personal Property (5-Year Depreciable Life)</v>
      </c>
      <c r="N11" s="144">
        <f>$N$9*VLOOKUP(Assumptions!$B$22,Depreciation!$C$55:$AH$60,Depreciation!N54,FALSE)</f>
        <v>30</v>
      </c>
      <c r="O11" s="144">
        <f>$N$9*VLOOKUP(Assumptions!$B$22,Depreciation!$C$55:$AH$60,Depreciation!O54,FALSE)</f>
        <v>48</v>
      </c>
      <c r="P11" s="144">
        <f>$N$9*VLOOKUP(Assumptions!$B$22,Depreciation!$C$55:$AH$60,Depreciation!P54,FALSE)</f>
        <v>28.8</v>
      </c>
      <c r="Q11" s="144">
        <f>$N$9*VLOOKUP(Assumptions!$B$22,Depreciation!$C$55:$AH$60,Depreciation!Q54,FALSE)</f>
        <v>17.28</v>
      </c>
      <c r="R11" s="144">
        <f>$N$9*VLOOKUP(Assumptions!$B$22,Depreciation!$C$55:$AH$60,Depreciation!R54,FALSE)</f>
        <v>17.28</v>
      </c>
      <c r="S11" s="144">
        <f>$N$9*VLOOKUP(Assumptions!$B$22,Depreciation!$C$55:$AH$60,Depreciation!S54,FALSE)</f>
        <v>8.64</v>
      </c>
      <c r="T11" s="144">
        <f>$N$9*VLOOKUP(Assumptions!$B$22,Depreciation!$C$55:$AH$60,Depreciation!T54,FALSE)</f>
        <v>0</v>
      </c>
      <c r="U11" s="144">
        <f>$N$9*VLOOKUP(Assumptions!$B$22,Depreciation!$C$55:$AH$60,Depreciation!U54,FALSE)</f>
        <v>0</v>
      </c>
      <c r="V11" s="144">
        <f>$N$9*VLOOKUP(Assumptions!$B$22,Depreciation!$C$55:$AH$60,Depreciation!V54,FALSE)</f>
        <v>0</v>
      </c>
      <c r="W11" s="144">
        <f>$N$9*VLOOKUP(Assumptions!$B$22,Depreciation!$C$55:$AH$60,Depreciation!W54,FALSE)</f>
        <v>0</v>
      </c>
      <c r="X11" s="144">
        <f>$N$9*VLOOKUP(Assumptions!$B$22,Depreciation!$C$55:$AH$60,Depreciation!X54,FALSE)</f>
        <v>0</v>
      </c>
      <c r="Y11" s="144">
        <f>$N$9*VLOOKUP(Assumptions!$B$22,Depreciation!$C$55:$AH$60,Depreciation!Y54,FALSE)</f>
        <v>0</v>
      </c>
      <c r="Z11" s="144">
        <f>$N$9*VLOOKUP(Assumptions!$B$22,Depreciation!$C$55:$AH$60,Depreciation!Z54,FALSE)</f>
        <v>0</v>
      </c>
      <c r="AA11" s="144">
        <f>$N$9*VLOOKUP(Assumptions!$B$22,Depreciation!$C$55:$AH$60,Depreciation!AA54,FALSE)</f>
        <v>0</v>
      </c>
      <c r="AB11" s="144">
        <f>$N$9*VLOOKUP(Assumptions!$B$22,Depreciation!$C$55:$AH$60,Depreciation!AB54,FALSE)</f>
        <v>0</v>
      </c>
      <c r="AC11" s="144">
        <f>$N$9*VLOOKUP(Assumptions!$B$22,Depreciation!$C$55:$AH$60,Depreciation!AC54,FALSE)</f>
        <v>0</v>
      </c>
      <c r="AD11" s="144">
        <f>$N$9*VLOOKUP(Assumptions!$B$22,Depreciation!$C$55:$AH$60,Depreciation!AD54,FALSE)</f>
        <v>0</v>
      </c>
      <c r="AE11" s="144">
        <f>$N$9*VLOOKUP(Assumptions!$B$22,Depreciation!$C$55:$AH$60,Depreciation!AE54,FALSE)</f>
        <v>0</v>
      </c>
      <c r="AF11" s="144">
        <f>$N$9*VLOOKUP(Assumptions!$B$22,Depreciation!$C$55:$AH$60,Depreciation!AF54,FALSE)</f>
        <v>0</v>
      </c>
      <c r="AG11" s="144">
        <f>$N$9*VLOOKUP(Assumptions!$B$22,Depreciation!$C$55:$AH$60,Depreciation!AG54,FALSE)</f>
        <v>0</v>
      </c>
      <c r="AH11" s="75"/>
    </row>
    <row r="12" spans="1:42" s="243" customFormat="1" ht="15.75" thickBot="1" x14ac:dyDescent="0.3">
      <c r="A12" s="242"/>
      <c r="B12" s="243" t="s">
        <v>184</v>
      </c>
      <c r="N12" s="244">
        <f t="shared" ref="N12:AG12" si="2">SUM(N11:N11)</f>
        <v>30</v>
      </c>
      <c r="O12" s="244">
        <f t="shared" si="2"/>
        <v>48</v>
      </c>
      <c r="P12" s="244">
        <f t="shared" si="2"/>
        <v>28.8</v>
      </c>
      <c r="Q12" s="244">
        <f t="shared" si="2"/>
        <v>17.28</v>
      </c>
      <c r="R12" s="244">
        <f t="shared" si="2"/>
        <v>17.28</v>
      </c>
      <c r="S12" s="244">
        <f t="shared" si="2"/>
        <v>8.64</v>
      </c>
      <c r="T12" s="244">
        <f t="shared" si="2"/>
        <v>0</v>
      </c>
      <c r="U12" s="244">
        <f t="shared" si="2"/>
        <v>0</v>
      </c>
      <c r="V12" s="244">
        <f t="shared" si="2"/>
        <v>0</v>
      </c>
      <c r="W12" s="244">
        <f t="shared" si="2"/>
        <v>0</v>
      </c>
      <c r="X12" s="244">
        <f t="shared" si="2"/>
        <v>0</v>
      </c>
      <c r="Y12" s="244">
        <f t="shared" si="2"/>
        <v>0</v>
      </c>
      <c r="Z12" s="244">
        <f t="shared" si="2"/>
        <v>0</v>
      </c>
      <c r="AA12" s="244">
        <f t="shared" si="2"/>
        <v>0</v>
      </c>
      <c r="AB12" s="244">
        <f t="shared" si="2"/>
        <v>0</v>
      </c>
      <c r="AC12" s="244">
        <f t="shared" si="2"/>
        <v>0</v>
      </c>
      <c r="AD12" s="244">
        <f t="shared" si="2"/>
        <v>0</v>
      </c>
      <c r="AE12" s="244">
        <f t="shared" si="2"/>
        <v>0</v>
      </c>
      <c r="AF12" s="244">
        <f t="shared" si="2"/>
        <v>0</v>
      </c>
      <c r="AG12" s="244">
        <f t="shared" si="2"/>
        <v>0</v>
      </c>
    </row>
    <row r="13" spans="1:42" s="73" customFormat="1" ht="15.75" thickTop="1" x14ac:dyDescent="0.25">
      <c r="A13" s="242"/>
    </row>
    <row r="14" spans="1:42" s="73" customFormat="1" ht="15.75" thickBot="1" x14ac:dyDescent="0.3">
      <c r="A14" s="242"/>
    </row>
    <row r="15" spans="1:42" s="73" customFormat="1" x14ac:dyDescent="0.25">
      <c r="A15" s="242"/>
      <c r="B15" s="73" t="s">
        <v>42</v>
      </c>
      <c r="N15" s="159">
        <f>'Capital Expenditures'!H27</f>
        <v>89.100000000000009</v>
      </c>
      <c r="O15" s="159">
        <f>'Capital Expenditures'!I27</f>
        <v>93.555000000000007</v>
      </c>
      <c r="P15" s="159">
        <f>'Capital Expenditures'!J27</f>
        <v>98.23275000000001</v>
      </c>
      <c r="Q15" s="159">
        <f>'Capital Expenditures'!K27</f>
        <v>103.14438750000002</v>
      </c>
      <c r="R15" s="159">
        <f>'Capital Expenditures'!L27</f>
        <v>107.27016300000003</v>
      </c>
      <c r="S15" s="182">
        <f>R15*(1+$AK$15)</f>
        <v>109.41556626000003</v>
      </c>
      <c r="T15" s="182">
        <f t="shared" ref="T15:AG15" si="3">S15*(1+$AK$15)</f>
        <v>111.60387758520004</v>
      </c>
      <c r="U15" s="182">
        <f t="shared" si="3"/>
        <v>113.83595513690405</v>
      </c>
      <c r="V15" s="182">
        <f t="shared" si="3"/>
        <v>116.11267423964213</v>
      </c>
      <c r="W15" s="182">
        <f t="shared" si="3"/>
        <v>118.43492772443497</v>
      </c>
      <c r="X15" s="182">
        <f t="shared" si="3"/>
        <v>120.80362627892367</v>
      </c>
      <c r="Y15" s="182">
        <f t="shared" si="3"/>
        <v>123.21969880450214</v>
      </c>
      <c r="Z15" s="182">
        <f t="shared" si="3"/>
        <v>125.6840927805922</v>
      </c>
      <c r="AA15" s="182">
        <f t="shared" si="3"/>
        <v>128.19777463620403</v>
      </c>
      <c r="AB15" s="182">
        <f t="shared" si="3"/>
        <v>130.76173012892812</v>
      </c>
      <c r="AC15" s="182">
        <f t="shared" si="3"/>
        <v>133.37696473150669</v>
      </c>
      <c r="AD15" s="182">
        <f t="shared" si="3"/>
        <v>136.04450402613682</v>
      </c>
      <c r="AE15" s="182">
        <f t="shared" si="3"/>
        <v>138.76539410665956</v>
      </c>
      <c r="AF15" s="182">
        <f t="shared" si="3"/>
        <v>141.54070198879276</v>
      </c>
      <c r="AG15" s="182">
        <f t="shared" si="3"/>
        <v>144.37151602856861</v>
      </c>
      <c r="AJ15" s="73" t="s">
        <v>207</v>
      </c>
      <c r="AK15" s="255">
        <v>0.02</v>
      </c>
      <c r="AM15" s="289" t="s">
        <v>185</v>
      </c>
      <c r="AN15" s="290"/>
      <c r="AP15" s="261"/>
    </row>
    <row r="16" spans="1:42" s="73" customFormat="1" x14ac:dyDescent="0.25">
      <c r="A16" s="242"/>
      <c r="AM16" s="245" t="s">
        <v>186</v>
      </c>
      <c r="AN16" s="246" t="s">
        <v>187</v>
      </c>
      <c r="AP16" s="119"/>
    </row>
    <row r="17" spans="1:42" s="73" customFormat="1" x14ac:dyDescent="0.25">
      <c r="A17" s="242"/>
      <c r="B17" s="73" t="s">
        <v>208</v>
      </c>
      <c r="AM17" s="247">
        <v>2018</v>
      </c>
      <c r="AN17" s="248">
        <v>1</v>
      </c>
      <c r="AP17" s="119"/>
    </row>
    <row r="18" spans="1:42" s="73" customFormat="1" x14ac:dyDescent="0.25">
      <c r="A18" s="242"/>
      <c r="C18" s="73" t="s">
        <v>189</v>
      </c>
      <c r="N18" s="249">
        <f>VLOOKUP(N7,$AM$17:$AN$48,2,FALSE)</f>
        <v>1</v>
      </c>
      <c r="O18" s="249">
        <f t="shared" ref="O18:AG18" si="4">VLOOKUP(O7,$AM$17:$AN$48,2,FALSE)</f>
        <v>1</v>
      </c>
      <c r="P18" s="249">
        <f t="shared" si="4"/>
        <v>0.8</v>
      </c>
      <c r="Q18" s="249">
        <f t="shared" si="4"/>
        <v>0.6</v>
      </c>
      <c r="R18" s="249">
        <f t="shared" si="4"/>
        <v>0.4</v>
      </c>
      <c r="S18" s="249">
        <f t="shared" si="4"/>
        <v>0.2</v>
      </c>
      <c r="T18" s="249">
        <f t="shared" si="4"/>
        <v>0</v>
      </c>
      <c r="U18" s="249">
        <f t="shared" si="4"/>
        <v>0</v>
      </c>
      <c r="V18" s="249">
        <f t="shared" si="4"/>
        <v>0</v>
      </c>
      <c r="W18" s="249">
        <f t="shared" si="4"/>
        <v>0</v>
      </c>
      <c r="X18" s="249">
        <f t="shared" si="4"/>
        <v>0</v>
      </c>
      <c r="Y18" s="249">
        <f t="shared" si="4"/>
        <v>0</v>
      </c>
      <c r="Z18" s="249">
        <f t="shared" si="4"/>
        <v>0</v>
      </c>
      <c r="AA18" s="249">
        <f t="shared" si="4"/>
        <v>0</v>
      </c>
      <c r="AB18" s="249">
        <f t="shared" si="4"/>
        <v>0</v>
      </c>
      <c r="AC18" s="249">
        <f t="shared" si="4"/>
        <v>0</v>
      </c>
      <c r="AD18" s="249">
        <f t="shared" si="4"/>
        <v>0</v>
      </c>
      <c r="AE18" s="249">
        <f t="shared" si="4"/>
        <v>0</v>
      </c>
      <c r="AF18" s="249">
        <f t="shared" si="4"/>
        <v>0</v>
      </c>
      <c r="AG18" s="249">
        <f t="shared" si="4"/>
        <v>0</v>
      </c>
      <c r="AH18" s="249"/>
      <c r="AM18" s="247">
        <f t="shared" ref="AM18:AM48" si="5">AM17+1</f>
        <v>2019</v>
      </c>
      <c r="AN18" s="248">
        <v>1</v>
      </c>
    </row>
    <row r="19" spans="1:42" s="73" customFormat="1" x14ac:dyDescent="0.25">
      <c r="A19" s="242"/>
      <c r="C19" s="73" t="s">
        <v>188</v>
      </c>
      <c r="N19" s="144">
        <f t="shared" ref="N19:AG19" si="6">N18*N15</f>
        <v>89.100000000000009</v>
      </c>
      <c r="O19" s="144">
        <f t="shared" si="6"/>
        <v>93.555000000000007</v>
      </c>
      <c r="P19" s="144">
        <f t="shared" si="6"/>
        <v>78.586200000000019</v>
      </c>
      <c r="Q19" s="144">
        <f t="shared" si="6"/>
        <v>61.886632500000012</v>
      </c>
      <c r="R19" s="144">
        <f t="shared" si="6"/>
        <v>42.90806520000001</v>
      </c>
      <c r="S19" s="144">
        <f t="shared" si="6"/>
        <v>21.883113252000008</v>
      </c>
      <c r="T19" s="144">
        <f t="shared" si="6"/>
        <v>0</v>
      </c>
      <c r="U19" s="144">
        <f t="shared" si="6"/>
        <v>0</v>
      </c>
      <c r="V19" s="144">
        <f t="shared" si="6"/>
        <v>0</v>
      </c>
      <c r="W19" s="144">
        <f t="shared" si="6"/>
        <v>0</v>
      </c>
      <c r="X19" s="144">
        <f t="shared" si="6"/>
        <v>0</v>
      </c>
      <c r="Y19" s="144">
        <f t="shared" si="6"/>
        <v>0</v>
      </c>
      <c r="Z19" s="144">
        <f t="shared" si="6"/>
        <v>0</v>
      </c>
      <c r="AA19" s="144">
        <f t="shared" si="6"/>
        <v>0</v>
      </c>
      <c r="AB19" s="144">
        <f t="shared" si="6"/>
        <v>0</v>
      </c>
      <c r="AC19" s="144">
        <f t="shared" si="6"/>
        <v>0</v>
      </c>
      <c r="AD19" s="144">
        <f t="shared" si="6"/>
        <v>0</v>
      </c>
      <c r="AE19" s="144">
        <f t="shared" si="6"/>
        <v>0</v>
      </c>
      <c r="AF19" s="144">
        <f t="shared" si="6"/>
        <v>0</v>
      </c>
      <c r="AG19" s="144">
        <f t="shared" si="6"/>
        <v>0</v>
      </c>
      <c r="AM19" s="247">
        <f t="shared" si="5"/>
        <v>2020</v>
      </c>
      <c r="AN19" s="248">
        <v>1</v>
      </c>
    </row>
    <row r="20" spans="1:42" s="73" customFormat="1" x14ac:dyDescent="0.25">
      <c r="A20" s="242"/>
      <c r="C20" s="73" t="s">
        <v>190</v>
      </c>
      <c r="N20" s="250">
        <f>N15-N19</f>
        <v>0</v>
      </c>
      <c r="O20" s="250">
        <f t="shared" ref="O20:AG20" si="7">O15-O19</f>
        <v>0</v>
      </c>
      <c r="P20" s="250">
        <f t="shared" si="7"/>
        <v>19.646549999999991</v>
      </c>
      <c r="Q20" s="250">
        <f t="shared" si="7"/>
        <v>41.25775500000001</v>
      </c>
      <c r="R20" s="250">
        <f t="shared" si="7"/>
        <v>64.362097800000015</v>
      </c>
      <c r="S20" s="250">
        <f t="shared" si="7"/>
        <v>87.532453008000033</v>
      </c>
      <c r="T20" s="250">
        <f t="shared" si="7"/>
        <v>111.60387758520004</v>
      </c>
      <c r="U20" s="250">
        <f t="shared" si="7"/>
        <v>113.83595513690405</v>
      </c>
      <c r="V20" s="250">
        <f t="shared" si="7"/>
        <v>116.11267423964213</v>
      </c>
      <c r="W20" s="250">
        <f t="shared" si="7"/>
        <v>118.43492772443497</v>
      </c>
      <c r="X20" s="250">
        <f t="shared" si="7"/>
        <v>120.80362627892367</v>
      </c>
      <c r="Y20" s="250">
        <f t="shared" si="7"/>
        <v>123.21969880450214</v>
      </c>
      <c r="Z20" s="250">
        <f t="shared" si="7"/>
        <v>125.6840927805922</v>
      </c>
      <c r="AA20" s="250">
        <f t="shared" si="7"/>
        <v>128.19777463620403</v>
      </c>
      <c r="AB20" s="250">
        <f t="shared" si="7"/>
        <v>130.76173012892812</v>
      </c>
      <c r="AC20" s="250">
        <f t="shared" si="7"/>
        <v>133.37696473150669</v>
      </c>
      <c r="AD20" s="250">
        <f t="shared" si="7"/>
        <v>136.04450402613682</v>
      </c>
      <c r="AE20" s="250">
        <f t="shared" si="7"/>
        <v>138.76539410665956</v>
      </c>
      <c r="AF20" s="250">
        <f t="shared" si="7"/>
        <v>141.54070198879276</v>
      </c>
      <c r="AG20" s="250">
        <f t="shared" si="7"/>
        <v>144.37151602856861</v>
      </c>
      <c r="AM20" s="247">
        <f t="shared" si="5"/>
        <v>2021</v>
      </c>
      <c r="AN20" s="248">
        <v>1</v>
      </c>
    </row>
    <row r="21" spans="1:42" s="73" customFormat="1" x14ac:dyDescent="0.25">
      <c r="A21" s="242"/>
      <c r="AM21" s="247">
        <f t="shared" si="5"/>
        <v>2022</v>
      </c>
      <c r="AN21" s="248">
        <v>1</v>
      </c>
    </row>
    <row r="22" spans="1:42" s="73" customFormat="1" x14ac:dyDescent="0.25">
      <c r="A22" s="242"/>
      <c r="B22" s="243" t="str">
        <f>"Depreciation of Remaining Capital Expenditures ("&amp;Assumptions!B23&amp;" Depreciable Life)"</f>
        <v>Depreciation of Remaining Capital Expenditures (5-Year Depreciable Life)</v>
      </c>
      <c r="AM22" s="247">
        <f t="shared" si="5"/>
        <v>2023</v>
      </c>
      <c r="AN22" s="248">
        <v>0.8</v>
      </c>
    </row>
    <row r="23" spans="1:42" s="73" customFormat="1" x14ac:dyDescent="0.25">
      <c r="A23" s="242"/>
      <c r="AM23" s="247">
        <f t="shared" si="5"/>
        <v>2024</v>
      </c>
      <c r="AN23" s="248">
        <v>0.6</v>
      </c>
    </row>
    <row r="24" spans="1:42" s="73" customFormat="1" x14ac:dyDescent="0.25">
      <c r="A24" s="242"/>
      <c r="C24" s="241" t="s">
        <v>186</v>
      </c>
      <c r="D24" s="241" t="s">
        <v>42</v>
      </c>
      <c r="AM24" s="247">
        <f t="shared" si="5"/>
        <v>2025</v>
      </c>
      <c r="AN24" s="248">
        <v>0.4</v>
      </c>
    </row>
    <row r="25" spans="1:42" s="73" customFormat="1" x14ac:dyDescent="0.25">
      <c r="A25" s="242"/>
      <c r="C25" s="73">
        <f>N7</f>
        <v>2021</v>
      </c>
      <c r="D25" s="250">
        <f>N20</f>
        <v>0</v>
      </c>
      <c r="N25" s="182">
        <f>$D25*VLOOKUP(Assumptions!$B$23,Depreciation!$C$55:$AH$60,N$54)</f>
        <v>0</v>
      </c>
      <c r="O25" s="182">
        <f>$D25*VLOOKUP(Assumptions!$B$23,Depreciation!$C$55:$AH$60,O$54)</f>
        <v>0</v>
      </c>
      <c r="P25" s="182">
        <f>$D25*VLOOKUP(Assumptions!$B$23,Depreciation!$C$55:$AH$60,P$54)</f>
        <v>0</v>
      </c>
      <c r="Q25" s="182">
        <f>$D25*VLOOKUP(Assumptions!$B$23,Depreciation!$C$55:$AH$60,Q$54)</f>
        <v>0</v>
      </c>
      <c r="R25" s="182">
        <f>$D25*VLOOKUP(Assumptions!$B$23,Depreciation!$C$55:$AH$60,R$54)</f>
        <v>0</v>
      </c>
      <c r="S25" s="182">
        <f>$D25*VLOOKUP(Assumptions!$B$23,Depreciation!$C$55:$AH$60,S$54)</f>
        <v>0</v>
      </c>
      <c r="T25" s="182">
        <f>$D25*VLOOKUP(Assumptions!$B$23,Depreciation!$C$55:$AH$60,T$54)</f>
        <v>0</v>
      </c>
      <c r="U25" s="182">
        <f>$D25*VLOOKUP(Assumptions!$B$23,Depreciation!$C$55:$AH$60,U$54)</f>
        <v>0</v>
      </c>
      <c r="V25" s="182">
        <f>$D25*VLOOKUP(Assumptions!$B$23,Depreciation!$C$55:$AH$60,V$54)</f>
        <v>0</v>
      </c>
      <c r="W25" s="182">
        <f>$D25*VLOOKUP(Assumptions!$B$23,Depreciation!$C$55:$AH$60,W$54)</f>
        <v>0</v>
      </c>
      <c r="X25" s="182">
        <f>$D25*VLOOKUP(Assumptions!$B$23,Depreciation!$C$55:$AH$60,X$54)</f>
        <v>0</v>
      </c>
      <c r="Y25" s="182">
        <f>$D25*VLOOKUP(Assumptions!$B$23,Depreciation!$C$55:$AH$60,Y$54)</f>
        <v>0</v>
      </c>
      <c r="Z25" s="182">
        <f>$D25*VLOOKUP(Assumptions!$B$23,Depreciation!$C$55:$AH$60,Z$54)</f>
        <v>0</v>
      </c>
      <c r="AA25" s="182">
        <f>$D25*VLOOKUP(Assumptions!$B$23,Depreciation!$C$55:$AH$60,AA$54)</f>
        <v>0</v>
      </c>
      <c r="AB25" s="182">
        <f>$D25*VLOOKUP(Assumptions!$B$23,Depreciation!$C$55:$AH$60,AB$54)</f>
        <v>0</v>
      </c>
      <c r="AC25" s="182">
        <f>$D25*VLOOKUP(Assumptions!$B$23,Depreciation!$C$55:$AH$60,AC$54)</f>
        <v>0</v>
      </c>
      <c r="AD25" s="182">
        <f>$D25*VLOOKUP(Assumptions!$B$23,Depreciation!$C$55:$AH$60,AD$54)</f>
        <v>0</v>
      </c>
      <c r="AE25" s="182">
        <f>$D25*VLOOKUP(Assumptions!$B$23,Depreciation!$C$55:$AH$60,AE$54)</f>
        <v>0</v>
      </c>
      <c r="AF25" s="182">
        <f>$D25*VLOOKUP(Assumptions!$B$23,Depreciation!$C$55:$AH$60,AF$54)</f>
        <v>0</v>
      </c>
      <c r="AG25" s="182">
        <f>$D25*VLOOKUP(Assumptions!$B$23,Depreciation!$C$55:$AH$60,AG$54)</f>
        <v>0</v>
      </c>
      <c r="AM25" s="247">
        <f t="shared" si="5"/>
        <v>2026</v>
      </c>
      <c r="AN25" s="248">
        <v>0.2</v>
      </c>
    </row>
    <row r="26" spans="1:42" s="73" customFormat="1" x14ac:dyDescent="0.25">
      <c r="A26" s="242"/>
      <c r="C26" s="73">
        <f>O7</f>
        <v>2022</v>
      </c>
      <c r="D26" s="250">
        <f>O20</f>
        <v>0</v>
      </c>
      <c r="N26" s="182"/>
      <c r="O26" s="182">
        <f>$D26*VLOOKUP(Assumptions!$B$23,Depreciation!$C$55:$AH$60,N$54)</f>
        <v>0</v>
      </c>
      <c r="P26" s="182">
        <f>$D26*VLOOKUP(Assumptions!$B$23,Depreciation!$C$55:$AH$60,O$54)</f>
        <v>0</v>
      </c>
      <c r="Q26" s="182">
        <f>$D26*VLOOKUP(Assumptions!$B$23,Depreciation!$C$55:$AH$60,P$54)</f>
        <v>0</v>
      </c>
      <c r="R26" s="182">
        <f>$D26*VLOOKUP(Assumptions!$B$23,Depreciation!$C$55:$AH$60,Q$54)</f>
        <v>0</v>
      </c>
      <c r="S26" s="182">
        <f>$D26*VLOOKUP(Assumptions!$B$23,Depreciation!$C$55:$AH$60,R$54)</f>
        <v>0</v>
      </c>
      <c r="T26" s="182">
        <f>$D26*VLOOKUP(Assumptions!$B$23,Depreciation!$C$55:$AH$60,S$54)</f>
        <v>0</v>
      </c>
      <c r="U26" s="182">
        <f>$D26*VLOOKUP(Assumptions!$B$23,Depreciation!$C$55:$AH$60,T$54)</f>
        <v>0</v>
      </c>
      <c r="V26" s="182">
        <f>$D26*VLOOKUP(Assumptions!$B$23,Depreciation!$C$55:$AH$60,U$54)</f>
        <v>0</v>
      </c>
      <c r="W26" s="182">
        <f>$D26*VLOOKUP(Assumptions!$B$23,Depreciation!$C$55:$AH$60,V$54)</f>
        <v>0</v>
      </c>
      <c r="X26" s="182">
        <f>$D26*VLOOKUP(Assumptions!$B$23,Depreciation!$C$55:$AH$60,W$54)</f>
        <v>0</v>
      </c>
      <c r="Y26" s="182">
        <f>$D26*VLOOKUP(Assumptions!$B$23,Depreciation!$C$55:$AH$60,X$54)</f>
        <v>0</v>
      </c>
      <c r="Z26" s="182">
        <f>$D26*VLOOKUP(Assumptions!$B$23,Depreciation!$C$55:$AH$60,Y$54)</f>
        <v>0</v>
      </c>
      <c r="AA26" s="182">
        <f>$D26*VLOOKUP(Assumptions!$B$23,Depreciation!$C$55:$AH$60,Z$54)</f>
        <v>0</v>
      </c>
      <c r="AB26" s="182">
        <f>$D26*VLOOKUP(Assumptions!$B$23,Depreciation!$C$55:$AH$60,AA$54)</f>
        <v>0</v>
      </c>
      <c r="AC26" s="182">
        <f>$D26*VLOOKUP(Assumptions!$B$23,Depreciation!$C$55:$AH$60,AB$54)</f>
        <v>0</v>
      </c>
      <c r="AD26" s="182">
        <f>$D26*VLOOKUP(Assumptions!$B$23,Depreciation!$C$55:$AH$60,AC$54)</f>
        <v>0</v>
      </c>
      <c r="AE26" s="182">
        <f>$D26*VLOOKUP(Assumptions!$B$23,Depreciation!$C$55:$AH$60,AD$54)</f>
        <v>0</v>
      </c>
      <c r="AF26" s="182">
        <f>$D26*VLOOKUP(Assumptions!$B$23,Depreciation!$C$55:$AH$60,AE$54)</f>
        <v>0</v>
      </c>
      <c r="AG26" s="182">
        <f>$D26*VLOOKUP(Assumptions!$B$23,Depreciation!$C$55:$AH$60,AF$54)</f>
        <v>0</v>
      </c>
      <c r="AJ26" s="251"/>
      <c r="AM26" s="247">
        <f t="shared" si="5"/>
        <v>2027</v>
      </c>
      <c r="AN26" s="248">
        <v>0</v>
      </c>
    </row>
    <row r="27" spans="1:42" s="73" customFormat="1" x14ac:dyDescent="0.25">
      <c r="A27" s="242"/>
      <c r="C27" s="73">
        <f>P7</f>
        <v>2023</v>
      </c>
      <c r="D27" s="250">
        <f>P20</f>
        <v>19.646549999999991</v>
      </c>
      <c r="N27" s="182"/>
      <c r="O27" s="182"/>
      <c r="P27" s="182">
        <f>$D27*VLOOKUP(Assumptions!$B$23,Depreciation!$C$55:$AH$60,N$54)</f>
        <v>3.9293099999999983</v>
      </c>
      <c r="Q27" s="182">
        <f>$D27*VLOOKUP(Assumptions!$B$23,Depreciation!$C$55:$AH$60,O$54)</f>
        <v>6.2868959999999969</v>
      </c>
      <c r="R27" s="182">
        <f>$D27*VLOOKUP(Assumptions!$B$23,Depreciation!$C$55:$AH$60,P$54)</f>
        <v>3.7721375999999984</v>
      </c>
      <c r="S27" s="182">
        <f>$D27*VLOOKUP(Assumptions!$B$23,Depreciation!$C$55:$AH$60,Q$54)</f>
        <v>2.2632825599999991</v>
      </c>
      <c r="T27" s="182">
        <f>$D27*VLOOKUP(Assumptions!$B$23,Depreciation!$C$55:$AH$60,R$54)</f>
        <v>2.2632825599999991</v>
      </c>
      <c r="U27" s="182">
        <f>$D27*VLOOKUP(Assumptions!$B$23,Depreciation!$C$55:$AH$60,S$54)</f>
        <v>1.1316412799999995</v>
      </c>
      <c r="V27" s="182">
        <f>$D27*VLOOKUP(Assumptions!$B$23,Depreciation!$C$55:$AH$60,T$54)</f>
        <v>0</v>
      </c>
      <c r="W27" s="182">
        <f>$D27*VLOOKUP(Assumptions!$B$23,Depreciation!$C$55:$AH$60,U$54)</f>
        <v>0</v>
      </c>
      <c r="X27" s="182">
        <f>$D27*VLOOKUP(Assumptions!$B$23,Depreciation!$C$55:$AH$60,V$54)</f>
        <v>0</v>
      </c>
      <c r="Y27" s="182">
        <f>$D27*VLOOKUP(Assumptions!$B$23,Depreciation!$C$55:$AH$60,W$54)</f>
        <v>0</v>
      </c>
      <c r="Z27" s="182">
        <f>$D27*VLOOKUP(Assumptions!$B$23,Depreciation!$C$55:$AH$60,X$54)</f>
        <v>0</v>
      </c>
      <c r="AA27" s="182">
        <f>$D27*VLOOKUP(Assumptions!$B$23,Depreciation!$C$55:$AH$60,Y$54)</f>
        <v>0</v>
      </c>
      <c r="AB27" s="182">
        <f>$D27*VLOOKUP(Assumptions!$B$23,Depreciation!$C$55:$AH$60,Z$54)</f>
        <v>0</v>
      </c>
      <c r="AC27" s="182">
        <f>$D27*VLOOKUP(Assumptions!$B$23,Depreciation!$C$55:$AH$60,AA$54)</f>
        <v>0</v>
      </c>
      <c r="AD27" s="182">
        <f>$D27*VLOOKUP(Assumptions!$B$23,Depreciation!$C$55:$AH$60,AB$54)</f>
        <v>0</v>
      </c>
      <c r="AE27" s="182">
        <f>$D27*VLOOKUP(Assumptions!$B$23,Depreciation!$C$55:$AH$60,AC$54)</f>
        <v>0</v>
      </c>
      <c r="AF27" s="182">
        <f>$D27*VLOOKUP(Assumptions!$B$23,Depreciation!$C$55:$AH$60,AD$54)</f>
        <v>0</v>
      </c>
      <c r="AG27" s="182">
        <f>$D27*VLOOKUP(Assumptions!$B$23,Depreciation!$C$55:$AH$60,AE$54)</f>
        <v>0</v>
      </c>
      <c r="AJ27" s="251"/>
      <c r="AM27" s="247">
        <f t="shared" si="5"/>
        <v>2028</v>
      </c>
      <c r="AN27" s="248">
        <f>AN26</f>
        <v>0</v>
      </c>
    </row>
    <row r="28" spans="1:42" s="73" customFormat="1" x14ac:dyDescent="0.25">
      <c r="A28" s="242"/>
      <c r="C28" s="73">
        <f>Q7</f>
        <v>2024</v>
      </c>
      <c r="D28" s="250">
        <f>Q20</f>
        <v>41.25775500000001</v>
      </c>
      <c r="N28" s="182"/>
      <c r="O28" s="182"/>
      <c r="P28" s="182"/>
      <c r="Q28" s="182">
        <f>$D28*VLOOKUP(Assumptions!$B$23,Depreciation!$C$55:$AH$60,N$54)</f>
        <v>8.2515510000000027</v>
      </c>
      <c r="R28" s="182">
        <f>$D28*VLOOKUP(Assumptions!$B$23,Depreciation!$C$55:$AH$60,O$54)</f>
        <v>13.202481600000004</v>
      </c>
      <c r="S28" s="182">
        <f>$D28*VLOOKUP(Assumptions!$B$23,Depreciation!$C$55:$AH$60,P$54)</f>
        <v>7.9214889600000022</v>
      </c>
      <c r="T28" s="182">
        <f>$D28*VLOOKUP(Assumptions!$B$23,Depreciation!$C$55:$AH$60,Q$54)</f>
        <v>4.7528933760000012</v>
      </c>
      <c r="U28" s="182">
        <f>$D28*VLOOKUP(Assumptions!$B$23,Depreciation!$C$55:$AH$60,R$54)</f>
        <v>4.7528933760000012</v>
      </c>
      <c r="V28" s="182">
        <f>$D28*VLOOKUP(Assumptions!$B$23,Depreciation!$C$55:$AH$60,S$54)</f>
        <v>2.3764466880000006</v>
      </c>
      <c r="W28" s="182">
        <f>$D28*VLOOKUP(Assumptions!$B$23,Depreciation!$C$55:$AH$60,T$54)</f>
        <v>0</v>
      </c>
      <c r="X28" s="182">
        <f>$D28*VLOOKUP(Assumptions!$B$23,Depreciation!$C$55:$AH$60,U$54)</f>
        <v>0</v>
      </c>
      <c r="Y28" s="182">
        <f>$D28*VLOOKUP(Assumptions!$B$23,Depreciation!$C$55:$AH$60,V$54)</f>
        <v>0</v>
      </c>
      <c r="Z28" s="182">
        <f>$D28*VLOOKUP(Assumptions!$B$23,Depreciation!$C$55:$AH$60,W$54)</f>
        <v>0</v>
      </c>
      <c r="AA28" s="182">
        <f>$D28*VLOOKUP(Assumptions!$B$23,Depreciation!$C$55:$AH$60,X$54)</f>
        <v>0</v>
      </c>
      <c r="AB28" s="182">
        <f>$D28*VLOOKUP(Assumptions!$B$23,Depreciation!$C$55:$AH$60,Y$54)</f>
        <v>0</v>
      </c>
      <c r="AC28" s="182">
        <f>$D28*VLOOKUP(Assumptions!$B$23,Depreciation!$C$55:$AH$60,Z$54)</f>
        <v>0</v>
      </c>
      <c r="AD28" s="182">
        <f>$D28*VLOOKUP(Assumptions!$B$23,Depreciation!$C$55:$AH$60,AA$54)</f>
        <v>0</v>
      </c>
      <c r="AE28" s="182">
        <f>$D28*VLOOKUP(Assumptions!$B$23,Depreciation!$C$55:$AH$60,AB$54)</f>
        <v>0</v>
      </c>
      <c r="AF28" s="182">
        <f>$D28*VLOOKUP(Assumptions!$B$23,Depreciation!$C$55:$AH$60,AC$54)</f>
        <v>0</v>
      </c>
      <c r="AG28" s="182">
        <f>$D28*VLOOKUP(Assumptions!$B$23,Depreciation!$C$55:$AH$60,AD$54)</f>
        <v>0</v>
      </c>
      <c r="AJ28" s="251"/>
      <c r="AM28" s="247">
        <f t="shared" si="5"/>
        <v>2029</v>
      </c>
      <c r="AN28" s="248">
        <f t="shared" ref="AN28:AN48" si="8">AN27</f>
        <v>0</v>
      </c>
    </row>
    <row r="29" spans="1:42" s="73" customFormat="1" x14ac:dyDescent="0.25">
      <c r="A29" s="242"/>
      <c r="C29" s="73">
        <f>R7</f>
        <v>2025</v>
      </c>
      <c r="D29" s="250">
        <f>R20</f>
        <v>64.362097800000015</v>
      </c>
      <c r="N29" s="182"/>
      <c r="O29" s="182"/>
      <c r="P29" s="182"/>
      <c r="Q29" s="182"/>
      <c r="R29" s="182">
        <f>$D29*VLOOKUP(Assumptions!$B$23,Depreciation!$C$55:$AH$60,N$54)</f>
        <v>12.872419560000004</v>
      </c>
      <c r="S29" s="182">
        <f>$D29*VLOOKUP(Assumptions!$B$23,Depreciation!$C$55:$AH$60,O$54)</f>
        <v>20.595871296000006</v>
      </c>
      <c r="T29" s="182">
        <f>$D29*VLOOKUP(Assumptions!$B$23,Depreciation!$C$55:$AH$60,P$54)</f>
        <v>12.357522777600003</v>
      </c>
      <c r="U29" s="182">
        <f>$D29*VLOOKUP(Assumptions!$B$23,Depreciation!$C$55:$AH$60,Q$54)</f>
        <v>7.4145136665600013</v>
      </c>
      <c r="V29" s="182">
        <f>$D29*VLOOKUP(Assumptions!$B$23,Depreciation!$C$55:$AH$60,R$54)</f>
        <v>7.4145136665600013</v>
      </c>
      <c r="W29" s="182">
        <f>$D29*VLOOKUP(Assumptions!$B$23,Depreciation!$C$55:$AH$60,S$54)</f>
        <v>3.7072568332800007</v>
      </c>
      <c r="X29" s="182">
        <f>$D29*VLOOKUP(Assumptions!$B$23,Depreciation!$C$55:$AH$60,T$54)</f>
        <v>0</v>
      </c>
      <c r="Y29" s="182">
        <f>$D29*VLOOKUP(Assumptions!$B$23,Depreciation!$C$55:$AH$60,U$54)</f>
        <v>0</v>
      </c>
      <c r="Z29" s="182">
        <f>$D29*VLOOKUP(Assumptions!$B$23,Depreciation!$C$55:$AH$60,V$54)</f>
        <v>0</v>
      </c>
      <c r="AA29" s="182">
        <f>$D29*VLOOKUP(Assumptions!$B$23,Depreciation!$C$55:$AH$60,W$54)</f>
        <v>0</v>
      </c>
      <c r="AB29" s="182">
        <f>$D29*VLOOKUP(Assumptions!$B$23,Depreciation!$C$55:$AH$60,X$54)</f>
        <v>0</v>
      </c>
      <c r="AC29" s="182">
        <f>$D29*VLOOKUP(Assumptions!$B$23,Depreciation!$C$55:$AH$60,Y$54)</f>
        <v>0</v>
      </c>
      <c r="AD29" s="182">
        <f>$D29*VLOOKUP(Assumptions!$B$23,Depreciation!$C$55:$AH$60,Z$54)</f>
        <v>0</v>
      </c>
      <c r="AE29" s="182">
        <f>$D29*VLOOKUP(Assumptions!$B$23,Depreciation!$C$55:$AH$60,AA$54)</f>
        <v>0</v>
      </c>
      <c r="AF29" s="182">
        <f>$D29*VLOOKUP(Assumptions!$B$23,Depreciation!$C$55:$AH$60,AB$54)</f>
        <v>0</v>
      </c>
      <c r="AG29" s="182">
        <f>$D29*VLOOKUP(Assumptions!$B$23,Depreciation!$C$55:$AH$60,AC$54)</f>
        <v>0</v>
      </c>
      <c r="AJ29" s="251"/>
      <c r="AM29" s="247">
        <f t="shared" si="5"/>
        <v>2030</v>
      </c>
      <c r="AN29" s="248">
        <f t="shared" si="8"/>
        <v>0</v>
      </c>
    </row>
    <row r="30" spans="1:42" s="73" customFormat="1" x14ac:dyDescent="0.25">
      <c r="A30" s="242"/>
      <c r="C30" s="73">
        <f>S7</f>
        <v>2026</v>
      </c>
      <c r="D30" s="250">
        <f>S20</f>
        <v>87.532453008000033</v>
      </c>
      <c r="N30" s="182"/>
      <c r="O30" s="182"/>
      <c r="P30" s="182"/>
      <c r="Q30" s="182"/>
      <c r="R30" s="182"/>
      <c r="S30" s="182">
        <f>$D30*VLOOKUP(Assumptions!$B$23,Depreciation!$C$55:$AH$60,N$54)</f>
        <v>17.506490601600007</v>
      </c>
      <c r="T30" s="182">
        <f>$D30*VLOOKUP(Assumptions!$B$23,Depreciation!$C$55:$AH$60,O$54)</f>
        <v>28.010384962560011</v>
      </c>
      <c r="U30" s="182">
        <f>$D30*VLOOKUP(Assumptions!$B$23,Depreciation!$C$55:$AH$60,P$54)</f>
        <v>16.806230977536007</v>
      </c>
      <c r="V30" s="182">
        <f>$D30*VLOOKUP(Assumptions!$B$23,Depreciation!$C$55:$AH$60,Q$54)</f>
        <v>10.083738586521603</v>
      </c>
      <c r="W30" s="182">
        <f>$D30*VLOOKUP(Assumptions!$B$23,Depreciation!$C$55:$AH$60,R$54)</f>
        <v>10.083738586521603</v>
      </c>
      <c r="X30" s="182">
        <f>$D30*VLOOKUP(Assumptions!$B$23,Depreciation!$C$55:$AH$60,S$54)</f>
        <v>5.0418692932608016</v>
      </c>
      <c r="Y30" s="182">
        <f>$D30*VLOOKUP(Assumptions!$B$23,Depreciation!$C$55:$AH$60,T$54)</f>
        <v>0</v>
      </c>
      <c r="Z30" s="182">
        <f>$D30*VLOOKUP(Assumptions!$B$23,Depreciation!$C$55:$AH$60,U$54)</f>
        <v>0</v>
      </c>
      <c r="AA30" s="182">
        <f>$D30*VLOOKUP(Assumptions!$B$23,Depreciation!$C$55:$AH$60,V$54)</f>
        <v>0</v>
      </c>
      <c r="AB30" s="182">
        <f>$D30*VLOOKUP(Assumptions!$B$23,Depreciation!$C$55:$AH$60,W$54)</f>
        <v>0</v>
      </c>
      <c r="AC30" s="182">
        <f>$D30*VLOOKUP(Assumptions!$B$23,Depreciation!$C$55:$AH$60,X$54)</f>
        <v>0</v>
      </c>
      <c r="AD30" s="182">
        <f>$D30*VLOOKUP(Assumptions!$B$23,Depreciation!$C$55:$AH$60,Y$54)</f>
        <v>0</v>
      </c>
      <c r="AE30" s="182">
        <f>$D30*VLOOKUP(Assumptions!$B$23,Depreciation!$C$55:$AH$60,Z$54)</f>
        <v>0</v>
      </c>
      <c r="AF30" s="182">
        <f>$D30*VLOOKUP(Assumptions!$B$23,Depreciation!$C$55:$AH$60,AA$54)</f>
        <v>0</v>
      </c>
      <c r="AG30" s="182">
        <f>$D30*VLOOKUP(Assumptions!$B$23,Depreciation!$C$55:$AH$60,AB$54)</f>
        <v>0</v>
      </c>
      <c r="AJ30" s="251"/>
      <c r="AM30" s="247">
        <f t="shared" si="5"/>
        <v>2031</v>
      </c>
      <c r="AN30" s="248">
        <f t="shared" si="8"/>
        <v>0</v>
      </c>
    </row>
    <row r="31" spans="1:42" s="73" customFormat="1" x14ac:dyDescent="0.25">
      <c r="A31" s="242"/>
      <c r="C31" s="73">
        <f>T7</f>
        <v>2027</v>
      </c>
      <c r="D31" s="250">
        <f>T20</f>
        <v>111.60387758520004</v>
      </c>
      <c r="N31" s="182"/>
      <c r="O31" s="182"/>
      <c r="P31" s="182"/>
      <c r="Q31" s="182"/>
      <c r="R31" s="182"/>
      <c r="S31" s="182"/>
      <c r="T31" s="182">
        <f>$D31*VLOOKUP(Assumptions!$B$23,Depreciation!$C$55:$AH$60,N$54)</f>
        <v>22.320775517040008</v>
      </c>
      <c r="U31" s="182">
        <f>$D31*VLOOKUP(Assumptions!$B$23,Depreciation!$C$55:$AH$60,O$54)</f>
        <v>35.713240827264016</v>
      </c>
      <c r="V31" s="182">
        <f>$D31*VLOOKUP(Assumptions!$B$23,Depreciation!$C$55:$AH$60,P$54)</f>
        <v>21.427944496358407</v>
      </c>
      <c r="W31" s="182">
        <f>$D31*VLOOKUP(Assumptions!$B$23,Depreciation!$C$55:$AH$60,Q$54)</f>
        <v>12.856766697815043</v>
      </c>
      <c r="X31" s="182">
        <f>$D31*VLOOKUP(Assumptions!$B$23,Depreciation!$C$55:$AH$60,R$54)</f>
        <v>12.856766697815043</v>
      </c>
      <c r="Y31" s="182">
        <f>$D31*VLOOKUP(Assumptions!$B$23,Depreciation!$C$55:$AH$60,S$54)</f>
        <v>6.4283833489075217</v>
      </c>
      <c r="Z31" s="182">
        <f>$D31*VLOOKUP(Assumptions!$B$23,Depreciation!$C$55:$AH$60,T$54)</f>
        <v>0</v>
      </c>
      <c r="AA31" s="182">
        <f>$D31*VLOOKUP(Assumptions!$B$23,Depreciation!$C$55:$AH$60,U$54)</f>
        <v>0</v>
      </c>
      <c r="AB31" s="182">
        <f>$D31*VLOOKUP(Assumptions!$B$23,Depreciation!$C$55:$AH$60,V$54)</f>
        <v>0</v>
      </c>
      <c r="AC31" s="182">
        <f>$D31*VLOOKUP(Assumptions!$B$23,Depreciation!$C$55:$AH$60,W$54)</f>
        <v>0</v>
      </c>
      <c r="AD31" s="182">
        <f>$D31*VLOOKUP(Assumptions!$B$23,Depreciation!$C$55:$AH$60,X$54)</f>
        <v>0</v>
      </c>
      <c r="AE31" s="182">
        <f>$D31*VLOOKUP(Assumptions!$B$23,Depreciation!$C$55:$AH$60,Y$54)</f>
        <v>0</v>
      </c>
      <c r="AF31" s="182">
        <f>$D31*VLOOKUP(Assumptions!$B$23,Depreciation!$C$55:$AH$60,Z$54)</f>
        <v>0</v>
      </c>
      <c r="AG31" s="182">
        <f>$D31*VLOOKUP(Assumptions!$B$23,Depreciation!$C$55:$AH$60,AA$54)</f>
        <v>0</v>
      </c>
      <c r="AJ31" s="251"/>
      <c r="AM31" s="247">
        <f t="shared" si="5"/>
        <v>2032</v>
      </c>
      <c r="AN31" s="248">
        <f t="shared" si="8"/>
        <v>0</v>
      </c>
    </row>
    <row r="32" spans="1:42" s="73" customFormat="1" x14ac:dyDescent="0.25">
      <c r="A32" s="242"/>
      <c r="C32" s="73">
        <f>U7</f>
        <v>2028</v>
      </c>
      <c r="D32" s="250">
        <f>U20</f>
        <v>113.83595513690405</v>
      </c>
      <c r="N32" s="182"/>
      <c r="O32" s="182"/>
      <c r="P32" s="182"/>
      <c r="Q32" s="182"/>
      <c r="R32" s="182"/>
      <c r="S32" s="182"/>
      <c r="T32" s="182"/>
      <c r="U32" s="182">
        <f>$D32*VLOOKUP(Assumptions!$B$23,Depreciation!$C$55:$AH$60,N$54)</f>
        <v>22.767191027380811</v>
      </c>
      <c r="V32" s="182">
        <f>$D32*VLOOKUP(Assumptions!$B$23,Depreciation!$C$55:$AH$60,O$54)</f>
        <v>36.427505643809297</v>
      </c>
      <c r="W32" s="182">
        <f>$D32*VLOOKUP(Assumptions!$B$23,Depreciation!$C$55:$AH$60,P$54)</f>
        <v>21.856503386285578</v>
      </c>
      <c r="X32" s="182">
        <f>$D32*VLOOKUP(Assumptions!$B$23,Depreciation!$C$55:$AH$60,Q$54)</f>
        <v>13.113902031771346</v>
      </c>
      <c r="Y32" s="182">
        <f>$D32*VLOOKUP(Assumptions!$B$23,Depreciation!$C$55:$AH$60,R$54)</f>
        <v>13.113902031771346</v>
      </c>
      <c r="Z32" s="182">
        <f>$D32*VLOOKUP(Assumptions!$B$23,Depreciation!$C$55:$AH$60,S$54)</f>
        <v>6.556951015885673</v>
      </c>
      <c r="AA32" s="182">
        <f>$D32*VLOOKUP(Assumptions!$B$23,Depreciation!$C$55:$AH$60,T$54)</f>
        <v>0</v>
      </c>
      <c r="AB32" s="182">
        <f>$D32*VLOOKUP(Assumptions!$B$23,Depreciation!$C$55:$AH$60,U$54)</f>
        <v>0</v>
      </c>
      <c r="AC32" s="182">
        <f>$D32*VLOOKUP(Assumptions!$B$23,Depreciation!$C$55:$AH$60,V$54)</f>
        <v>0</v>
      </c>
      <c r="AD32" s="182">
        <f>$D32*VLOOKUP(Assumptions!$B$23,Depreciation!$C$55:$AH$60,W$54)</f>
        <v>0</v>
      </c>
      <c r="AE32" s="182">
        <f>$D32*VLOOKUP(Assumptions!$B$23,Depreciation!$C$55:$AH$60,X$54)</f>
        <v>0</v>
      </c>
      <c r="AF32" s="182">
        <f>$D32*VLOOKUP(Assumptions!$B$23,Depreciation!$C$55:$AH$60,Y$54)</f>
        <v>0</v>
      </c>
      <c r="AG32" s="182">
        <f>$D32*VLOOKUP(Assumptions!$B$23,Depreciation!$C$55:$AH$60,Z$54)</f>
        <v>0</v>
      </c>
      <c r="AJ32" s="251"/>
      <c r="AM32" s="247">
        <f t="shared" si="5"/>
        <v>2033</v>
      </c>
      <c r="AN32" s="248">
        <f t="shared" si="8"/>
        <v>0</v>
      </c>
    </row>
    <row r="33" spans="1:43" s="73" customFormat="1" x14ac:dyDescent="0.25">
      <c r="A33" s="242"/>
      <c r="C33" s="73">
        <f>V7</f>
        <v>2029</v>
      </c>
      <c r="D33" s="250">
        <f>V20</f>
        <v>116.11267423964213</v>
      </c>
      <c r="N33" s="182"/>
      <c r="O33" s="182"/>
      <c r="P33" s="182"/>
      <c r="Q33" s="182"/>
      <c r="R33" s="182"/>
      <c r="S33" s="182"/>
      <c r="T33" s="182"/>
      <c r="U33" s="182"/>
      <c r="V33" s="182">
        <f>$D33*VLOOKUP(Assumptions!$B$23,Depreciation!$C$55:$AH$60,N$54)</f>
        <v>23.222534847928429</v>
      </c>
      <c r="W33" s="182">
        <f>$D33*VLOOKUP(Assumptions!$B$23,Depreciation!$C$55:$AH$60,O$54)</f>
        <v>37.156055756685483</v>
      </c>
      <c r="X33" s="182">
        <f>$D33*VLOOKUP(Assumptions!$B$23,Depreciation!$C$55:$AH$60,P$54)</f>
        <v>22.293633454011289</v>
      </c>
      <c r="Y33" s="182">
        <f>$D33*VLOOKUP(Assumptions!$B$23,Depreciation!$C$55:$AH$60,Q$54)</f>
        <v>13.376180072406774</v>
      </c>
      <c r="Z33" s="182">
        <f>$D33*VLOOKUP(Assumptions!$B$23,Depreciation!$C$55:$AH$60,R$54)</f>
        <v>13.376180072406774</v>
      </c>
      <c r="AA33" s="182">
        <f>$D33*VLOOKUP(Assumptions!$B$23,Depreciation!$C$55:$AH$60,S$54)</f>
        <v>6.6880900362033868</v>
      </c>
      <c r="AB33" s="182">
        <f>$D33*VLOOKUP(Assumptions!$B$23,Depreciation!$C$55:$AH$60,T$54)</f>
        <v>0</v>
      </c>
      <c r="AC33" s="182">
        <f>$D33*VLOOKUP(Assumptions!$B$23,Depreciation!$C$55:$AH$60,U$54)</f>
        <v>0</v>
      </c>
      <c r="AD33" s="182">
        <f>$D33*VLOOKUP(Assumptions!$B$23,Depreciation!$C$55:$AH$60,V$54)</f>
        <v>0</v>
      </c>
      <c r="AE33" s="182">
        <f>$D33*VLOOKUP(Assumptions!$B$23,Depreciation!$C$55:$AH$60,W$54)</f>
        <v>0</v>
      </c>
      <c r="AF33" s="182">
        <f>$D33*VLOOKUP(Assumptions!$B$23,Depreciation!$C$55:$AH$60,X$54)</f>
        <v>0</v>
      </c>
      <c r="AG33" s="182">
        <f>$D33*VLOOKUP(Assumptions!$B$23,Depreciation!$C$55:$AH$60,Y$54)</f>
        <v>0</v>
      </c>
      <c r="AM33" s="247">
        <f t="shared" si="5"/>
        <v>2034</v>
      </c>
      <c r="AN33" s="248">
        <f t="shared" si="8"/>
        <v>0</v>
      </c>
    </row>
    <row r="34" spans="1:43" s="73" customFormat="1" x14ac:dyDescent="0.25">
      <c r="A34" s="242"/>
      <c r="C34" s="73">
        <f>W7</f>
        <v>2030</v>
      </c>
      <c r="D34" s="250">
        <f>W20</f>
        <v>118.43492772443497</v>
      </c>
      <c r="N34" s="75"/>
      <c r="O34" s="75"/>
      <c r="P34" s="75"/>
      <c r="Q34" s="75"/>
      <c r="R34" s="75"/>
      <c r="S34" s="75"/>
      <c r="T34" s="75"/>
      <c r="U34" s="75"/>
      <c r="V34" s="75"/>
      <c r="W34" s="182">
        <f>$D34*VLOOKUP(Assumptions!$B$23,Depreciation!$C$55:$AH$60,N$54)</f>
        <v>23.686985544886994</v>
      </c>
      <c r="X34" s="182">
        <f>$D34*VLOOKUP(Assumptions!$B$23,Depreciation!$C$55:$AH$60,O$54)</f>
        <v>37.899176871819193</v>
      </c>
      <c r="Y34" s="182">
        <f>$D34*VLOOKUP(Assumptions!$B$23,Depreciation!$C$55:$AH$60,P$54)</f>
        <v>22.739506123091516</v>
      </c>
      <c r="Z34" s="182">
        <f>$D34*VLOOKUP(Assumptions!$B$23,Depreciation!$C$55:$AH$60,Q$54)</f>
        <v>13.643703673854908</v>
      </c>
      <c r="AA34" s="182">
        <f>$D34*VLOOKUP(Assumptions!$B$23,Depreciation!$C$55:$AH$60,R$54)</f>
        <v>13.643703673854908</v>
      </c>
      <c r="AB34" s="182">
        <f>$D34*VLOOKUP(Assumptions!$B$23,Depreciation!$C$55:$AH$60,S$54)</f>
        <v>6.8218518369274541</v>
      </c>
      <c r="AC34" s="182">
        <f>$D34*VLOOKUP(Assumptions!$B$23,Depreciation!$C$55:$AH$60,T$54)</f>
        <v>0</v>
      </c>
      <c r="AD34" s="182">
        <f>$D34*VLOOKUP(Assumptions!$B$23,Depreciation!$C$55:$AH$60,U$54)</f>
        <v>0</v>
      </c>
      <c r="AE34" s="182">
        <f>$D34*VLOOKUP(Assumptions!$B$23,Depreciation!$C$55:$AH$60,V$54)</f>
        <v>0</v>
      </c>
      <c r="AF34" s="182">
        <f>$D34*VLOOKUP(Assumptions!$B$23,Depreciation!$C$55:$AH$60,W$54)</f>
        <v>0</v>
      </c>
      <c r="AG34" s="182">
        <f>$D34*VLOOKUP(Assumptions!$B$23,Depreciation!$C$55:$AH$60,X$54)</f>
        <v>0</v>
      </c>
      <c r="AM34" s="247">
        <f t="shared" si="5"/>
        <v>2035</v>
      </c>
      <c r="AN34" s="248">
        <f t="shared" si="8"/>
        <v>0</v>
      </c>
    </row>
    <row r="35" spans="1:43" s="73" customFormat="1" x14ac:dyDescent="0.25">
      <c r="A35" s="242"/>
      <c r="C35" s="73">
        <f>C34+1</f>
        <v>2031</v>
      </c>
      <c r="D35" s="250">
        <f>X15</f>
        <v>120.80362627892367</v>
      </c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182">
        <f>$D35*VLOOKUP(Assumptions!$B$23,Depreciation!$C$55:$AH$60,N$54)</f>
        <v>24.160725255784737</v>
      </c>
      <c r="Y35" s="182">
        <f>$D35*VLOOKUP(Assumptions!$B$23,Depreciation!$C$55:$AH$60,O$54)</f>
        <v>38.657160409255575</v>
      </c>
      <c r="Z35" s="182">
        <f>$D35*VLOOKUP(Assumptions!$B$23,Depreciation!$C$55:$AH$60,P$54)</f>
        <v>23.194296245553346</v>
      </c>
      <c r="AA35" s="182">
        <f>$D35*VLOOKUP(Assumptions!$B$23,Depreciation!$C$55:$AH$60,Q$54)</f>
        <v>13.916577747332006</v>
      </c>
      <c r="AB35" s="182">
        <f>$D35*VLOOKUP(Assumptions!$B$23,Depreciation!$C$55:$AH$60,R$54)</f>
        <v>13.916577747332006</v>
      </c>
      <c r="AC35" s="182">
        <f>$D35*VLOOKUP(Assumptions!$B$23,Depreciation!$C$55:$AH$60,S$54)</f>
        <v>6.9582888736660031</v>
      </c>
      <c r="AD35" s="182">
        <f>$D35*VLOOKUP(Assumptions!$B$23,Depreciation!$C$55:$AH$60,T$54)</f>
        <v>0</v>
      </c>
      <c r="AE35" s="182">
        <f>$D35*VLOOKUP(Assumptions!$B$23,Depreciation!$C$55:$AH$60,U$54)</f>
        <v>0</v>
      </c>
      <c r="AF35" s="182">
        <f>$D35*VLOOKUP(Assumptions!$B$23,Depreciation!$C$55:$AH$60,V$54)</f>
        <v>0</v>
      </c>
      <c r="AG35" s="182">
        <f>$D35*VLOOKUP(Assumptions!$B$23,Depreciation!$C$55:$AH$60,W$54)</f>
        <v>0</v>
      </c>
      <c r="AH35" s="75"/>
      <c r="AI35" s="75"/>
      <c r="AM35" s="247">
        <f t="shared" si="5"/>
        <v>2036</v>
      </c>
      <c r="AN35" s="248">
        <f t="shared" si="8"/>
        <v>0</v>
      </c>
    </row>
    <row r="36" spans="1:43" s="73" customFormat="1" x14ac:dyDescent="0.25">
      <c r="A36" s="242"/>
      <c r="C36" s="73">
        <f t="shared" ref="C36:C44" si="9">C35+1</f>
        <v>2032</v>
      </c>
      <c r="D36" s="250">
        <f>Y15</f>
        <v>123.21969880450214</v>
      </c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182">
        <f>$D36*VLOOKUP(Assumptions!$B$23,Depreciation!$C$55:$AH$60,N$54)</f>
        <v>24.64393976090043</v>
      </c>
      <c r="Z36" s="182">
        <f>$D36*VLOOKUP(Assumptions!$B$23,Depreciation!$C$55:$AH$60,O$54)</f>
        <v>39.430303617440686</v>
      </c>
      <c r="AA36" s="182">
        <f>$D36*VLOOKUP(Assumptions!$B$23,Depreciation!$C$55:$AH$60,P$54)</f>
        <v>23.658182170464411</v>
      </c>
      <c r="AB36" s="182">
        <f>$D36*VLOOKUP(Assumptions!$B$23,Depreciation!$C$55:$AH$60,Q$54)</f>
        <v>14.194909302278647</v>
      </c>
      <c r="AC36" s="182">
        <f>$D36*VLOOKUP(Assumptions!$B$23,Depreciation!$C$55:$AH$60,R$54)</f>
        <v>14.194909302278647</v>
      </c>
      <c r="AD36" s="182">
        <f>$D36*VLOOKUP(Assumptions!$B$23,Depreciation!$C$55:$AH$60,S$54)</f>
        <v>7.0974546511393237</v>
      </c>
      <c r="AE36" s="182">
        <f>$D36*VLOOKUP(Assumptions!$B$23,Depreciation!$C$55:$AH$60,T$54)</f>
        <v>0</v>
      </c>
      <c r="AF36" s="182">
        <f>$D36*VLOOKUP(Assumptions!$B$23,Depreciation!$C$55:$AH$60,U$54)</f>
        <v>0</v>
      </c>
      <c r="AG36" s="182">
        <f>$D36*VLOOKUP(Assumptions!$B$23,Depreciation!$C$55:$AH$60,V$54)</f>
        <v>0</v>
      </c>
      <c r="AH36" s="75"/>
      <c r="AI36" s="75"/>
      <c r="AJ36" s="75"/>
      <c r="AM36" s="247">
        <f t="shared" si="5"/>
        <v>2037</v>
      </c>
      <c r="AN36" s="248">
        <f t="shared" si="8"/>
        <v>0</v>
      </c>
    </row>
    <row r="37" spans="1:43" s="73" customFormat="1" x14ac:dyDescent="0.25">
      <c r="A37" s="242"/>
      <c r="C37" s="73">
        <f t="shared" si="9"/>
        <v>2033</v>
      </c>
      <c r="D37" s="250">
        <f>Z15</f>
        <v>125.6840927805922</v>
      </c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182">
        <f>$D37*VLOOKUP(Assumptions!$B$23,Depreciation!$C$55:$AH$60,N$54)</f>
        <v>25.136818556118442</v>
      </c>
      <c r="AA37" s="182">
        <f>$D37*VLOOKUP(Assumptions!$B$23,Depreciation!$C$55:$AH$60,O$54)</f>
        <v>40.218909689789506</v>
      </c>
      <c r="AB37" s="182">
        <f>$D37*VLOOKUP(Assumptions!$B$23,Depreciation!$C$55:$AH$60,P$54)</f>
        <v>24.1313458138737</v>
      </c>
      <c r="AC37" s="182">
        <f>$D37*VLOOKUP(Assumptions!$B$23,Depreciation!$C$55:$AH$60,Q$54)</f>
        <v>14.47880748832422</v>
      </c>
      <c r="AD37" s="182">
        <f>$D37*VLOOKUP(Assumptions!$B$23,Depreciation!$C$55:$AH$60,R$54)</f>
        <v>14.47880748832422</v>
      </c>
      <c r="AE37" s="182">
        <f>$D37*VLOOKUP(Assumptions!$B$23,Depreciation!$C$55:$AH$60,S$54)</f>
        <v>7.23940374416211</v>
      </c>
      <c r="AF37" s="182">
        <f>$D37*VLOOKUP(Assumptions!$B$23,Depreciation!$C$55:$AH$60,T$54)</f>
        <v>0</v>
      </c>
      <c r="AG37" s="182">
        <f>$D37*VLOOKUP(Assumptions!$B$23,Depreciation!$C$55:$AH$60,U$54)</f>
        <v>0</v>
      </c>
      <c r="AH37" s="75"/>
      <c r="AI37" s="75"/>
      <c r="AJ37" s="75"/>
      <c r="AK37" s="75"/>
      <c r="AM37" s="247">
        <f t="shared" si="5"/>
        <v>2038</v>
      </c>
      <c r="AN37" s="248">
        <f t="shared" si="8"/>
        <v>0</v>
      </c>
    </row>
    <row r="38" spans="1:43" s="73" customFormat="1" x14ac:dyDescent="0.25">
      <c r="A38" s="242"/>
      <c r="C38" s="73">
        <f t="shared" si="9"/>
        <v>2034</v>
      </c>
      <c r="D38" s="250">
        <f>AA15</f>
        <v>128.19777463620403</v>
      </c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182">
        <f>$D38*VLOOKUP(Assumptions!$B$23,Depreciation!$C$55:$AH$60,N$54)</f>
        <v>25.639554927240809</v>
      </c>
      <c r="AB38" s="182">
        <f>$D38*VLOOKUP(Assumptions!$B$23,Depreciation!$C$55:$AH$60,O$54)</f>
        <v>41.02328788358529</v>
      </c>
      <c r="AC38" s="182">
        <f>$D38*VLOOKUP(Assumptions!$B$23,Depreciation!$C$55:$AH$60,P$54)</f>
        <v>24.613972730151175</v>
      </c>
      <c r="AD38" s="182">
        <f>$D38*VLOOKUP(Assumptions!$B$23,Depreciation!$C$55:$AH$60,Q$54)</f>
        <v>14.768383638090704</v>
      </c>
      <c r="AE38" s="182">
        <f>$D38*VLOOKUP(Assumptions!$B$23,Depreciation!$C$55:$AH$60,R$54)</f>
        <v>14.768383638090704</v>
      </c>
      <c r="AF38" s="182">
        <f>$D38*VLOOKUP(Assumptions!$B$23,Depreciation!$C$55:$AH$60,S$54)</f>
        <v>7.3841918190453519</v>
      </c>
      <c r="AG38" s="182">
        <f>$D38*VLOOKUP(Assumptions!$B$23,Depreciation!$C$55:$AH$60,T$54)</f>
        <v>0</v>
      </c>
      <c r="AH38" s="75"/>
      <c r="AI38" s="75"/>
      <c r="AJ38" s="75"/>
      <c r="AK38" s="75"/>
      <c r="AL38" s="75"/>
      <c r="AM38" s="247">
        <f t="shared" si="5"/>
        <v>2039</v>
      </c>
      <c r="AN38" s="248">
        <f t="shared" si="8"/>
        <v>0</v>
      </c>
    </row>
    <row r="39" spans="1:43" s="73" customFormat="1" x14ac:dyDescent="0.25">
      <c r="A39" s="242"/>
      <c r="C39" s="73">
        <f t="shared" si="9"/>
        <v>2035</v>
      </c>
      <c r="D39" s="250">
        <f>AB15</f>
        <v>130.76173012892812</v>
      </c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182">
        <f>$D39*VLOOKUP(Assumptions!$B$23,Depreciation!$C$55:$AH$60,N$54)</f>
        <v>26.152346025785626</v>
      </c>
      <c r="AC39" s="182">
        <f>$D39*VLOOKUP(Assumptions!$B$23,Depreciation!$C$55:$AH$60,O$54)</f>
        <v>41.843753641257003</v>
      </c>
      <c r="AD39" s="182">
        <f>$D39*VLOOKUP(Assumptions!$B$23,Depreciation!$C$55:$AH$60,P$54)</f>
        <v>25.106252184754201</v>
      </c>
      <c r="AE39" s="182">
        <f>$D39*VLOOKUP(Assumptions!$B$23,Depreciation!$C$55:$AH$60,Q$54)</f>
        <v>15.063751310852519</v>
      </c>
      <c r="AF39" s="182">
        <f>$D39*VLOOKUP(Assumptions!$B$23,Depreciation!$C$55:$AH$60,R$54)</f>
        <v>15.063751310852519</v>
      </c>
      <c r="AG39" s="182">
        <f>$D39*VLOOKUP(Assumptions!$B$23,Depreciation!$C$55:$AH$60,S$54)</f>
        <v>7.5318756554262594</v>
      </c>
      <c r="AH39" s="75"/>
      <c r="AI39" s="75"/>
      <c r="AJ39" s="75"/>
      <c r="AK39" s="75"/>
      <c r="AL39" s="75"/>
      <c r="AM39" s="247">
        <f t="shared" si="5"/>
        <v>2040</v>
      </c>
      <c r="AN39" s="248">
        <f t="shared" si="8"/>
        <v>0</v>
      </c>
    </row>
    <row r="40" spans="1:43" s="73" customFormat="1" x14ac:dyDescent="0.25">
      <c r="A40" s="242"/>
      <c r="C40" s="73">
        <f t="shared" si="9"/>
        <v>2036</v>
      </c>
      <c r="D40" s="250">
        <f>AC15</f>
        <v>133.37696473150669</v>
      </c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182">
        <f>$D40*VLOOKUP(Assumptions!$B$23,Depreciation!$C$55:$AH$60,N$54)</f>
        <v>26.67539294630134</v>
      </c>
      <c r="AD40" s="182">
        <f>$D40*VLOOKUP(Assumptions!$B$23,Depreciation!$C$55:$AH$60,O$54)</f>
        <v>42.68062871408214</v>
      </c>
      <c r="AE40" s="182">
        <f>$D40*VLOOKUP(Assumptions!$B$23,Depreciation!$C$55:$AH$60,P$54)</f>
        <v>25.608377228449285</v>
      </c>
      <c r="AF40" s="182">
        <f>$D40*VLOOKUP(Assumptions!$B$23,Depreciation!$C$55:$AH$60,Q$54)</f>
        <v>15.365026337069571</v>
      </c>
      <c r="AG40" s="182">
        <f>$D40*VLOOKUP(Assumptions!$B$23,Depreciation!$C$55:$AH$60,R$54)</f>
        <v>15.365026337069571</v>
      </c>
      <c r="AH40" s="75"/>
      <c r="AI40" s="75"/>
      <c r="AJ40" s="75"/>
      <c r="AK40" s="75"/>
      <c r="AL40" s="75"/>
      <c r="AM40" s="247">
        <f t="shared" si="5"/>
        <v>2041</v>
      </c>
      <c r="AN40" s="248">
        <f t="shared" si="8"/>
        <v>0</v>
      </c>
    </row>
    <row r="41" spans="1:43" s="73" customFormat="1" x14ac:dyDescent="0.25">
      <c r="A41" s="242"/>
      <c r="C41" s="73">
        <f t="shared" si="9"/>
        <v>2037</v>
      </c>
      <c r="D41" s="250">
        <f>AD15</f>
        <v>136.04450402613682</v>
      </c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182">
        <f>$D41*VLOOKUP(Assumptions!$B$23,Depreciation!$C$55:$AH$60,N$54)</f>
        <v>27.208900805227366</v>
      </c>
      <c r="AE41" s="182">
        <f>$D41*VLOOKUP(Assumptions!$B$23,Depreciation!$C$55:$AH$60,O$54)</f>
        <v>43.534241288363781</v>
      </c>
      <c r="AF41" s="182">
        <f>$D41*VLOOKUP(Assumptions!$B$23,Depreciation!$C$55:$AH$60,P$54)</f>
        <v>26.12054477301827</v>
      </c>
      <c r="AG41" s="182">
        <f>$D41*VLOOKUP(Assumptions!$B$23,Depreciation!$C$55:$AH$60,Q$54)</f>
        <v>15.672326863810961</v>
      </c>
      <c r="AH41" s="75"/>
      <c r="AI41" s="75"/>
      <c r="AJ41" s="75"/>
      <c r="AK41" s="75"/>
      <c r="AL41" s="75"/>
      <c r="AM41" s="247">
        <f t="shared" si="5"/>
        <v>2042</v>
      </c>
      <c r="AN41" s="248">
        <f t="shared" si="8"/>
        <v>0</v>
      </c>
      <c r="AO41" s="75"/>
    </row>
    <row r="42" spans="1:43" s="73" customFormat="1" x14ac:dyDescent="0.25">
      <c r="A42" s="242"/>
      <c r="C42" s="73">
        <f t="shared" si="9"/>
        <v>2038</v>
      </c>
      <c r="D42" s="250">
        <f>AE15</f>
        <v>138.76539410665956</v>
      </c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182">
        <f>$D42*VLOOKUP(Assumptions!$B$23,Depreciation!$C$55:$AH$60,N$54)</f>
        <v>27.753078821331911</v>
      </c>
      <c r="AF42" s="182">
        <f>$D42*VLOOKUP(Assumptions!$B$23,Depreciation!$C$55:$AH$60,O$54)</f>
        <v>44.404926114131058</v>
      </c>
      <c r="AG42" s="182">
        <f>$D42*VLOOKUP(Assumptions!$B$23,Depreciation!$C$55:$AH$60,P$54)</f>
        <v>26.642955668478635</v>
      </c>
      <c r="AH42" s="75"/>
      <c r="AI42" s="75"/>
      <c r="AJ42" s="75"/>
      <c r="AK42" s="75"/>
      <c r="AL42" s="75"/>
      <c r="AM42" s="247">
        <f t="shared" si="5"/>
        <v>2043</v>
      </c>
      <c r="AN42" s="248">
        <f t="shared" si="8"/>
        <v>0</v>
      </c>
      <c r="AO42" s="75"/>
      <c r="AP42" s="75"/>
    </row>
    <row r="43" spans="1:43" s="73" customFormat="1" x14ac:dyDescent="0.25">
      <c r="A43" s="242"/>
      <c r="C43" s="73">
        <f t="shared" si="9"/>
        <v>2039</v>
      </c>
      <c r="D43" s="250">
        <f>AF15</f>
        <v>141.54070198879276</v>
      </c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182">
        <f>$D43*VLOOKUP(Assumptions!$B$23,Depreciation!$C$55:$AH$60,N$54)</f>
        <v>28.308140397758553</v>
      </c>
      <c r="AG43" s="182">
        <f>$D43*VLOOKUP(Assumptions!$B$23,Depreciation!$C$55:$AH$60,O$54)</f>
        <v>45.293024636413683</v>
      </c>
      <c r="AH43" s="75"/>
      <c r="AI43" s="75"/>
      <c r="AJ43" s="75"/>
      <c r="AK43" s="75"/>
      <c r="AL43" s="75"/>
      <c r="AM43" s="247">
        <f t="shared" si="5"/>
        <v>2044</v>
      </c>
      <c r="AN43" s="248">
        <f t="shared" si="8"/>
        <v>0</v>
      </c>
      <c r="AO43" s="75"/>
      <c r="AP43" s="75"/>
      <c r="AQ43" s="75"/>
    </row>
    <row r="44" spans="1:43" s="73" customFormat="1" x14ac:dyDescent="0.25">
      <c r="A44" s="242"/>
      <c r="C44" s="73">
        <f t="shared" si="9"/>
        <v>2040</v>
      </c>
      <c r="D44" s="250">
        <f>AG20</f>
        <v>144.37151602856861</v>
      </c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182">
        <f>$D44*VLOOKUP(Assumptions!$B$23,Depreciation!$C$55:$AH$60,N$54)</f>
        <v>28.874303205713723</v>
      </c>
      <c r="AH44" s="75"/>
      <c r="AI44" s="75"/>
      <c r="AJ44" s="75"/>
      <c r="AK44" s="75"/>
      <c r="AL44" s="75"/>
      <c r="AM44" s="247">
        <f t="shared" si="5"/>
        <v>2045</v>
      </c>
      <c r="AN44" s="248">
        <f t="shared" si="8"/>
        <v>0</v>
      </c>
      <c r="AO44" s="75"/>
      <c r="AP44" s="75"/>
      <c r="AQ44" s="75"/>
    </row>
    <row r="45" spans="1:43" s="73" customFormat="1" x14ac:dyDescent="0.25">
      <c r="A45" s="24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M45" s="247">
        <f t="shared" si="5"/>
        <v>2046</v>
      </c>
      <c r="AN45" s="248">
        <f t="shared" si="8"/>
        <v>0</v>
      </c>
    </row>
    <row r="46" spans="1:43" s="73" customFormat="1" x14ac:dyDescent="0.25">
      <c r="A46" s="242"/>
      <c r="C46" s="73" t="s">
        <v>191</v>
      </c>
      <c r="N46" s="144">
        <f>SUM(N25:N44)+N19</f>
        <v>89.100000000000009</v>
      </c>
      <c r="O46" s="144">
        <f t="shared" ref="O46:AG46" si="10">SUM(O25:O44)+O19</f>
        <v>93.555000000000007</v>
      </c>
      <c r="P46" s="144">
        <f t="shared" si="10"/>
        <v>82.51551000000002</v>
      </c>
      <c r="Q46" s="144">
        <f t="shared" si="10"/>
        <v>76.42507950000001</v>
      </c>
      <c r="R46" s="144">
        <f t="shared" si="10"/>
        <v>72.755103960000014</v>
      </c>
      <c r="S46" s="144">
        <f t="shared" si="10"/>
        <v>70.170246669600033</v>
      </c>
      <c r="T46" s="144">
        <f t="shared" si="10"/>
        <v>69.704859193200022</v>
      </c>
      <c r="U46" s="144">
        <f t="shared" si="10"/>
        <v>88.585711154740835</v>
      </c>
      <c r="V46" s="144">
        <f t="shared" si="10"/>
        <v>100.95268392917774</v>
      </c>
      <c r="W46" s="144">
        <f t="shared" si="10"/>
        <v>109.3473068054747</v>
      </c>
      <c r="X46" s="144">
        <f t="shared" si="10"/>
        <v>115.36607360446241</v>
      </c>
      <c r="Y46" s="144">
        <f t="shared" si="10"/>
        <v>118.95907174633317</v>
      </c>
      <c r="Z46" s="144">
        <f t="shared" si="10"/>
        <v>121.33825318125983</v>
      </c>
      <c r="AA46" s="144">
        <f t="shared" si="10"/>
        <v>123.76501824488504</v>
      </c>
      <c r="AB46" s="144">
        <f t="shared" si="10"/>
        <v>126.24031860978272</v>
      </c>
      <c r="AC46" s="144">
        <f t="shared" si="10"/>
        <v>128.7651249819784</v>
      </c>
      <c r="AD46" s="144">
        <f t="shared" si="10"/>
        <v>131.34042748161795</v>
      </c>
      <c r="AE46" s="144">
        <f t="shared" si="10"/>
        <v>133.96723603125031</v>
      </c>
      <c r="AF46" s="144">
        <f t="shared" si="10"/>
        <v>136.64658075187532</v>
      </c>
      <c r="AG46" s="144">
        <f t="shared" si="10"/>
        <v>139.37951236691282</v>
      </c>
      <c r="AM46" s="247">
        <f t="shared" si="5"/>
        <v>2047</v>
      </c>
      <c r="AN46" s="248">
        <f t="shared" si="8"/>
        <v>0</v>
      </c>
    </row>
    <row r="47" spans="1:43" s="73" customFormat="1" x14ac:dyDescent="0.25">
      <c r="A47" s="24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M47" s="247">
        <f t="shared" si="5"/>
        <v>2048</v>
      </c>
      <c r="AN47" s="248">
        <f t="shared" si="8"/>
        <v>0</v>
      </c>
    </row>
    <row r="48" spans="1:43" s="243" customFormat="1" ht="15.75" thickBot="1" x14ac:dyDescent="0.3">
      <c r="A48" s="242"/>
      <c r="B48" s="243" t="s">
        <v>192</v>
      </c>
      <c r="N48" s="244">
        <f>N12+N46</f>
        <v>119.10000000000001</v>
      </c>
      <c r="O48" s="244">
        <f t="shared" ref="O48:AG48" si="11">O12+O46</f>
        <v>141.55500000000001</v>
      </c>
      <c r="P48" s="244">
        <f t="shared" si="11"/>
        <v>111.31551000000002</v>
      </c>
      <c r="Q48" s="244">
        <f t="shared" si="11"/>
        <v>93.705079500000011</v>
      </c>
      <c r="R48" s="244">
        <f t="shared" si="11"/>
        <v>90.035103960000015</v>
      </c>
      <c r="S48" s="244">
        <f t="shared" si="11"/>
        <v>78.810246669600033</v>
      </c>
      <c r="T48" s="244">
        <f t="shared" si="11"/>
        <v>69.704859193200022</v>
      </c>
      <c r="U48" s="244">
        <f t="shared" si="11"/>
        <v>88.585711154740835</v>
      </c>
      <c r="V48" s="244">
        <f t="shared" si="11"/>
        <v>100.95268392917774</v>
      </c>
      <c r="W48" s="244">
        <f t="shared" si="11"/>
        <v>109.3473068054747</v>
      </c>
      <c r="X48" s="244">
        <f t="shared" si="11"/>
        <v>115.36607360446241</v>
      </c>
      <c r="Y48" s="244">
        <f t="shared" si="11"/>
        <v>118.95907174633317</v>
      </c>
      <c r="Z48" s="244">
        <f t="shared" si="11"/>
        <v>121.33825318125983</v>
      </c>
      <c r="AA48" s="244">
        <f t="shared" si="11"/>
        <v>123.76501824488504</v>
      </c>
      <c r="AB48" s="244">
        <f t="shared" si="11"/>
        <v>126.24031860978272</v>
      </c>
      <c r="AC48" s="244">
        <f t="shared" si="11"/>
        <v>128.7651249819784</v>
      </c>
      <c r="AD48" s="244">
        <f t="shared" si="11"/>
        <v>131.34042748161795</v>
      </c>
      <c r="AE48" s="244">
        <f t="shared" si="11"/>
        <v>133.96723603125031</v>
      </c>
      <c r="AF48" s="244">
        <f t="shared" si="11"/>
        <v>136.64658075187532</v>
      </c>
      <c r="AG48" s="244">
        <f t="shared" si="11"/>
        <v>139.37951236691282</v>
      </c>
      <c r="AM48" s="253">
        <f t="shared" si="5"/>
        <v>2049</v>
      </c>
      <c r="AN48" s="254">
        <f t="shared" si="8"/>
        <v>0</v>
      </c>
    </row>
    <row r="49" spans="2:45" s="73" customFormat="1" ht="15.75" thickTop="1" x14ac:dyDescent="0.25"/>
    <row r="50" spans="2:45" s="73" customFormat="1" x14ac:dyDescent="0.25"/>
    <row r="51" spans="2:45" s="73" customFormat="1" x14ac:dyDescent="0.25"/>
    <row r="52" spans="2:45" s="73" customFormat="1" x14ac:dyDescent="0.25">
      <c r="B52" s="243" t="s">
        <v>193</v>
      </c>
      <c r="C52" s="243"/>
      <c r="N52" s="240" t="s">
        <v>186</v>
      </c>
      <c r="O52" s="240" t="s">
        <v>186</v>
      </c>
      <c r="P52" s="240" t="s">
        <v>186</v>
      </c>
      <c r="Q52" s="240" t="s">
        <v>186</v>
      </c>
      <c r="R52" s="240" t="s">
        <v>186</v>
      </c>
      <c r="S52" s="240" t="s">
        <v>186</v>
      </c>
      <c r="T52" s="240" t="s">
        <v>186</v>
      </c>
      <c r="U52" s="240" t="s">
        <v>186</v>
      </c>
      <c r="V52" s="240" t="s">
        <v>186</v>
      </c>
      <c r="W52" s="240" t="s">
        <v>186</v>
      </c>
      <c r="X52" s="240" t="s">
        <v>186</v>
      </c>
      <c r="Y52" s="240" t="s">
        <v>186</v>
      </c>
      <c r="Z52" s="240" t="s">
        <v>186</v>
      </c>
      <c r="AA52" s="240" t="s">
        <v>186</v>
      </c>
      <c r="AB52" s="240" t="s">
        <v>186</v>
      </c>
      <c r="AC52" s="240" t="s">
        <v>186</v>
      </c>
      <c r="AD52" s="240" t="s">
        <v>186</v>
      </c>
      <c r="AE52" s="240" t="s">
        <v>186</v>
      </c>
      <c r="AF52" s="240" t="s">
        <v>186</v>
      </c>
      <c r="AG52" s="240" t="s">
        <v>186</v>
      </c>
      <c r="AH52" s="240" t="s">
        <v>186</v>
      </c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</row>
    <row r="53" spans="2:45" s="73" customFormat="1" x14ac:dyDescent="0.25">
      <c r="B53" s="73" t="s">
        <v>194</v>
      </c>
      <c r="N53" s="241">
        <v>1</v>
      </c>
      <c r="O53" s="241">
        <f>N53+1</f>
        <v>2</v>
      </c>
      <c r="P53" s="241">
        <f t="shared" ref="P53:AE54" si="12">O53+1</f>
        <v>3</v>
      </c>
      <c r="Q53" s="241">
        <f t="shared" si="12"/>
        <v>4</v>
      </c>
      <c r="R53" s="241">
        <f t="shared" si="12"/>
        <v>5</v>
      </c>
      <c r="S53" s="241">
        <f t="shared" si="12"/>
        <v>6</v>
      </c>
      <c r="T53" s="241">
        <f t="shared" si="12"/>
        <v>7</v>
      </c>
      <c r="U53" s="241">
        <f t="shared" si="12"/>
        <v>8</v>
      </c>
      <c r="V53" s="241">
        <f t="shared" si="12"/>
        <v>9</v>
      </c>
      <c r="W53" s="241">
        <f t="shared" si="12"/>
        <v>10</v>
      </c>
      <c r="X53" s="241">
        <f t="shared" si="12"/>
        <v>11</v>
      </c>
      <c r="Y53" s="241">
        <f t="shared" si="12"/>
        <v>12</v>
      </c>
      <c r="Z53" s="241">
        <f t="shared" si="12"/>
        <v>13</v>
      </c>
      <c r="AA53" s="241">
        <f t="shared" si="12"/>
        <v>14</v>
      </c>
      <c r="AB53" s="241">
        <f t="shared" si="12"/>
        <v>15</v>
      </c>
      <c r="AC53" s="241">
        <f t="shared" si="12"/>
        <v>16</v>
      </c>
      <c r="AD53" s="241">
        <f t="shared" si="12"/>
        <v>17</v>
      </c>
      <c r="AE53" s="241">
        <f t="shared" si="12"/>
        <v>18</v>
      </c>
      <c r="AF53" s="241">
        <f t="shared" ref="AF53:AH54" si="13">AE53+1</f>
        <v>19</v>
      </c>
      <c r="AG53" s="241">
        <f t="shared" si="13"/>
        <v>20</v>
      </c>
      <c r="AH53" s="241">
        <f>AG53+1</f>
        <v>21</v>
      </c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</row>
    <row r="54" spans="2:45" s="73" customFormat="1" hidden="1" x14ac:dyDescent="0.25">
      <c r="C54" s="73" t="s">
        <v>209</v>
      </c>
      <c r="N54" s="73">
        <v>12</v>
      </c>
      <c r="O54" s="73">
        <f>N54+1</f>
        <v>13</v>
      </c>
      <c r="P54" s="73">
        <f t="shared" si="12"/>
        <v>14</v>
      </c>
      <c r="Q54" s="73">
        <f t="shared" si="12"/>
        <v>15</v>
      </c>
      <c r="R54" s="73">
        <f t="shared" si="12"/>
        <v>16</v>
      </c>
      <c r="S54" s="73">
        <f t="shared" si="12"/>
        <v>17</v>
      </c>
      <c r="T54" s="73">
        <f t="shared" si="12"/>
        <v>18</v>
      </c>
      <c r="U54" s="73">
        <f t="shared" si="12"/>
        <v>19</v>
      </c>
      <c r="V54" s="73">
        <f t="shared" si="12"/>
        <v>20</v>
      </c>
      <c r="W54" s="73">
        <f t="shared" si="12"/>
        <v>21</v>
      </c>
      <c r="X54" s="73">
        <f t="shared" si="12"/>
        <v>22</v>
      </c>
      <c r="Y54" s="73">
        <f t="shared" si="12"/>
        <v>23</v>
      </c>
      <c r="Z54" s="73">
        <f t="shared" si="12"/>
        <v>24</v>
      </c>
      <c r="AA54" s="73">
        <f t="shared" si="12"/>
        <v>25</v>
      </c>
      <c r="AB54" s="73">
        <f t="shared" si="12"/>
        <v>26</v>
      </c>
      <c r="AC54" s="73">
        <f t="shared" si="12"/>
        <v>27</v>
      </c>
      <c r="AD54" s="73">
        <f t="shared" si="12"/>
        <v>28</v>
      </c>
      <c r="AE54" s="73">
        <f t="shared" si="12"/>
        <v>29</v>
      </c>
      <c r="AF54" s="73">
        <f t="shared" si="13"/>
        <v>30</v>
      </c>
      <c r="AG54" s="73">
        <f t="shared" si="13"/>
        <v>31</v>
      </c>
      <c r="AH54" s="73">
        <f t="shared" si="13"/>
        <v>32</v>
      </c>
    </row>
    <row r="55" spans="2:45" s="73" customFormat="1" x14ac:dyDescent="0.25">
      <c r="C55" s="73" t="str">
        <f>Assumptions!O17</f>
        <v>3-Year</v>
      </c>
      <c r="N55" s="256">
        <v>0.33329999999999999</v>
      </c>
      <c r="O55" s="256">
        <v>0.44450000000000001</v>
      </c>
      <c r="P55" s="256">
        <v>0.14810000000000001</v>
      </c>
      <c r="Q55" s="256">
        <v>7.4099999999999999E-2</v>
      </c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7">
        <f t="shared" ref="AJ55:AJ60" si="14">SUM(N55:AH55)</f>
        <v>1</v>
      </c>
      <c r="AL55" s="256"/>
      <c r="AM55" s="256"/>
      <c r="AN55" s="256"/>
      <c r="AO55" s="256"/>
      <c r="AP55" s="256"/>
      <c r="AQ55" s="256"/>
      <c r="AR55" s="256"/>
      <c r="AS55" s="256"/>
    </row>
    <row r="56" spans="2:45" s="73" customFormat="1" x14ac:dyDescent="0.25">
      <c r="C56" s="73" t="str">
        <f>Assumptions!O18</f>
        <v>5-Year</v>
      </c>
      <c r="N56" s="256">
        <v>0.2</v>
      </c>
      <c r="O56" s="256">
        <v>0.32</v>
      </c>
      <c r="P56" s="256">
        <v>0.192</v>
      </c>
      <c r="Q56" s="256">
        <v>0.1152</v>
      </c>
      <c r="R56" s="256">
        <v>0.1152</v>
      </c>
      <c r="S56" s="256">
        <v>5.7599999999999998E-2</v>
      </c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7">
        <f t="shared" si="14"/>
        <v>0.99999999999999989</v>
      </c>
      <c r="AL56" s="256"/>
      <c r="AM56" s="256"/>
      <c r="AN56" s="256"/>
      <c r="AO56" s="256"/>
      <c r="AP56" s="256"/>
      <c r="AQ56" s="256"/>
      <c r="AR56" s="256"/>
      <c r="AS56" s="256"/>
    </row>
    <row r="57" spans="2:45" s="73" customFormat="1" x14ac:dyDescent="0.25">
      <c r="C57" s="73" t="str">
        <f>Assumptions!O19</f>
        <v>7-Year</v>
      </c>
      <c r="N57" s="256">
        <v>0.1429</v>
      </c>
      <c r="O57" s="256">
        <v>0.24490000000000001</v>
      </c>
      <c r="P57" s="256">
        <v>0.1749</v>
      </c>
      <c r="Q57" s="256">
        <v>0.1249</v>
      </c>
      <c r="R57" s="256">
        <v>8.9300000000000004E-2</v>
      </c>
      <c r="S57" s="256">
        <v>8.9200000000000002E-2</v>
      </c>
      <c r="T57" s="256">
        <v>8.9300000000000004E-2</v>
      </c>
      <c r="U57" s="256">
        <v>4.4600000000000001E-2</v>
      </c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7">
        <f t="shared" si="14"/>
        <v>1.0000000000000002</v>
      </c>
      <c r="AL57" s="256"/>
      <c r="AM57" s="256"/>
      <c r="AN57" s="256"/>
      <c r="AO57" s="256"/>
      <c r="AP57" s="256"/>
      <c r="AQ57" s="256"/>
      <c r="AR57" s="256"/>
      <c r="AS57" s="256"/>
    </row>
    <row r="58" spans="2:45" s="73" customFormat="1" x14ac:dyDescent="0.25">
      <c r="C58" s="73" t="str">
        <f>Assumptions!O20</f>
        <v>10-Year</v>
      </c>
      <c r="N58" s="256">
        <v>0.1</v>
      </c>
      <c r="O58" s="256">
        <v>0.18</v>
      </c>
      <c r="P58" s="256">
        <v>0.14399999999999999</v>
      </c>
      <c r="Q58" s="256">
        <v>0.1152</v>
      </c>
      <c r="R58" s="256">
        <v>9.2200000000000004E-2</v>
      </c>
      <c r="S58" s="256">
        <v>7.3700000000000002E-2</v>
      </c>
      <c r="T58" s="256">
        <v>6.5500000000000003E-2</v>
      </c>
      <c r="U58" s="256">
        <v>6.5500000000000003E-2</v>
      </c>
      <c r="V58" s="256">
        <v>6.5600000000000006E-2</v>
      </c>
      <c r="W58" s="256">
        <v>6.5500000000000003E-2</v>
      </c>
      <c r="X58" s="256">
        <v>3.2800000000000003E-2</v>
      </c>
      <c r="Y58" s="256"/>
      <c r="Z58" s="256"/>
      <c r="AA58" s="256"/>
      <c r="AB58" s="256"/>
      <c r="AC58" s="256"/>
      <c r="AD58" s="256"/>
      <c r="AE58" s="256"/>
      <c r="AF58" s="256"/>
      <c r="AG58" s="256"/>
      <c r="AJ58" s="257">
        <f t="shared" si="14"/>
        <v>1</v>
      </c>
      <c r="AL58" s="256"/>
      <c r="AM58" s="256"/>
      <c r="AN58" s="256"/>
      <c r="AO58" s="256"/>
      <c r="AP58" s="256"/>
      <c r="AQ58" s="256"/>
      <c r="AR58" s="256"/>
      <c r="AS58" s="256"/>
    </row>
    <row r="59" spans="2:45" s="73" customFormat="1" x14ac:dyDescent="0.25">
      <c r="C59" s="73" t="str">
        <f>Assumptions!O21</f>
        <v>15-Year</v>
      </c>
      <c r="N59" s="256">
        <v>0.05</v>
      </c>
      <c r="O59" s="256">
        <v>9.5000000000000001E-2</v>
      </c>
      <c r="P59" s="256">
        <v>8.5500000000000007E-2</v>
      </c>
      <c r="Q59" s="256">
        <v>7.6999999999999999E-2</v>
      </c>
      <c r="R59" s="256">
        <v>6.93E-2</v>
      </c>
      <c r="S59" s="256">
        <v>6.2300000000000001E-2</v>
      </c>
      <c r="T59" s="256">
        <v>5.8999999999999997E-2</v>
      </c>
      <c r="U59" s="256">
        <v>5.8999999999999997E-2</v>
      </c>
      <c r="V59" s="256">
        <v>5.91E-2</v>
      </c>
      <c r="W59" s="256">
        <v>5.8999999999999997E-2</v>
      </c>
      <c r="X59" s="256">
        <v>5.91E-2</v>
      </c>
      <c r="Y59" s="256">
        <v>5.8999999999999997E-2</v>
      </c>
      <c r="Z59" s="256">
        <v>5.91E-2</v>
      </c>
      <c r="AA59" s="256">
        <v>5.8999999999999997E-2</v>
      </c>
      <c r="AB59" s="256">
        <v>5.91E-2</v>
      </c>
      <c r="AC59" s="256">
        <v>2.9499999999999998E-2</v>
      </c>
      <c r="AD59" s="256"/>
      <c r="AE59" s="256"/>
      <c r="AF59" s="256"/>
      <c r="AG59" s="256"/>
      <c r="AJ59" s="257">
        <f t="shared" si="14"/>
        <v>1.0000000000000002</v>
      </c>
      <c r="AO59" s="256"/>
      <c r="AP59" s="256"/>
      <c r="AQ59" s="256"/>
      <c r="AR59" s="256"/>
      <c r="AS59" s="256"/>
    </row>
    <row r="60" spans="2:45" s="73" customFormat="1" x14ac:dyDescent="0.25">
      <c r="C60" s="73" t="str">
        <f>Assumptions!O22</f>
        <v>20-Year</v>
      </c>
      <c r="N60" s="256">
        <v>3.7499999999999999E-2</v>
      </c>
      <c r="O60" s="256">
        <v>7.2190000000000004E-2</v>
      </c>
      <c r="P60" s="256">
        <v>6.6769999999999996E-2</v>
      </c>
      <c r="Q60" s="256">
        <v>6.1769999999999999E-2</v>
      </c>
      <c r="R60" s="256">
        <v>5.713E-2</v>
      </c>
      <c r="S60" s="256">
        <v>5.2850000000000001E-2</v>
      </c>
      <c r="T60" s="256">
        <v>4.888E-2</v>
      </c>
      <c r="U60" s="256">
        <v>4.5220000000000003E-2</v>
      </c>
      <c r="V60" s="256">
        <v>4.462E-2</v>
      </c>
      <c r="W60" s="256">
        <v>4.4609999999999997E-2</v>
      </c>
      <c r="X60" s="256">
        <v>4.462E-2</v>
      </c>
      <c r="Y60" s="256">
        <v>4.4609999999999997E-2</v>
      </c>
      <c r="Z60" s="256">
        <v>4.462E-2</v>
      </c>
      <c r="AA60" s="256">
        <v>4.4609999999999997E-2</v>
      </c>
      <c r="AB60" s="256">
        <v>4.462E-2</v>
      </c>
      <c r="AC60" s="256">
        <v>4.4609999999999997E-2</v>
      </c>
      <c r="AD60" s="256">
        <v>4.462E-2</v>
      </c>
      <c r="AE60" s="256">
        <v>4.4609999999999997E-2</v>
      </c>
      <c r="AF60" s="256">
        <v>4.462E-2</v>
      </c>
      <c r="AG60" s="256">
        <v>4.4609999999999997E-2</v>
      </c>
      <c r="AH60" s="256">
        <v>2.231E-2</v>
      </c>
      <c r="AI60" s="256"/>
      <c r="AJ60" s="257">
        <f t="shared" si="14"/>
        <v>1.0000000000000002</v>
      </c>
    </row>
  </sheetData>
  <mergeCells count="2">
    <mergeCell ref="AM15:AN15"/>
    <mergeCell ref="N1:AE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288E-2685-4B1B-A4CC-28D5214275E1}">
  <sheetPr>
    <tabColor rgb="FFFF0000"/>
  </sheetPr>
  <dimension ref="A1:R22"/>
  <sheetViews>
    <sheetView zoomScaleNormal="100" workbookViewId="0">
      <selection activeCell="K38" sqref="K38"/>
    </sheetView>
  </sheetViews>
  <sheetFormatPr defaultRowHeight="15" x14ac:dyDescent="0.25"/>
  <cols>
    <col min="1" max="1" width="2.85546875" style="1" customWidth="1"/>
    <col min="2" max="2" width="24.28515625" style="1" customWidth="1"/>
    <col min="3" max="7" width="2.7109375" style="1" customWidth="1"/>
    <col min="8" max="8" width="9.85546875" style="1" customWidth="1"/>
    <col min="9" max="12" width="9.7109375" style="1" bestFit="1" customWidth="1"/>
    <col min="13" max="13" width="9.140625" style="1" customWidth="1"/>
    <col min="14" max="15" width="9.5703125" style="1" bestFit="1" customWidth="1"/>
    <col min="16" max="18" width="9.7109375" style="1" bestFit="1" customWidth="1"/>
    <col min="19" max="19" width="2.85546875" style="1" customWidth="1"/>
    <col min="20" max="16384" width="9.140625" style="1"/>
  </cols>
  <sheetData>
    <row r="1" spans="1:18" x14ac:dyDescent="0.25">
      <c r="A1" s="11" t="s">
        <v>98</v>
      </c>
      <c r="B1" s="11"/>
      <c r="C1" s="11"/>
      <c r="D1" s="11"/>
      <c r="E1" s="11"/>
      <c r="F1" s="11"/>
      <c r="G1" s="11"/>
      <c r="H1" s="11"/>
    </row>
    <row r="3" spans="1:18" x14ac:dyDescent="0.25">
      <c r="B3" s="11"/>
    </row>
    <row r="4" spans="1:18" x14ac:dyDescent="0.25">
      <c r="B4" s="11"/>
    </row>
    <row r="5" spans="1:18" s="41" customFormat="1" x14ac:dyDescent="0.25">
      <c r="B5" s="96" t="s">
        <v>99</v>
      </c>
      <c r="I5" s="189">
        <v>100</v>
      </c>
      <c r="J5" s="39"/>
      <c r="K5" s="39"/>
      <c r="L5" s="39"/>
      <c r="M5" s="39"/>
      <c r="N5" s="39"/>
      <c r="O5" s="39"/>
      <c r="P5" s="39"/>
      <c r="Q5" s="39"/>
      <c r="R5" s="39"/>
    </row>
    <row r="6" spans="1:18" s="5" customFormat="1" x14ac:dyDescent="0.25">
      <c r="B6" s="96" t="s">
        <v>100</v>
      </c>
      <c r="C6" s="41"/>
      <c r="D6" s="41"/>
      <c r="E6" s="41"/>
      <c r="F6" s="41"/>
      <c r="G6" s="41"/>
      <c r="H6" s="190">
        <v>8.8400000000000006E-2</v>
      </c>
      <c r="I6" s="191">
        <f>I5*H6</f>
        <v>8.84</v>
      </c>
      <c r="P6" s="187"/>
      <c r="Q6" s="187"/>
      <c r="R6" s="187"/>
    </row>
    <row r="7" spans="1:18" x14ac:dyDescent="0.25">
      <c r="B7" s="96" t="s">
        <v>101</v>
      </c>
      <c r="C7" s="41"/>
      <c r="D7" s="41"/>
      <c r="E7" s="41"/>
      <c r="F7" s="41"/>
      <c r="G7" s="41"/>
      <c r="H7" s="41"/>
      <c r="I7" s="189">
        <f>I5-I6</f>
        <v>91.16</v>
      </c>
    </row>
    <row r="8" spans="1:18" x14ac:dyDescent="0.25">
      <c r="B8" s="96" t="s">
        <v>102</v>
      </c>
      <c r="C8" s="41"/>
      <c r="D8" s="41"/>
      <c r="E8" s="41"/>
      <c r="F8" s="41"/>
      <c r="G8" s="41"/>
      <c r="H8" s="190">
        <v>0.21</v>
      </c>
      <c r="I8" s="191">
        <f>I7*H8</f>
        <v>19.143599999999999</v>
      </c>
    </row>
    <row r="9" spans="1:18" ht="15.75" thickBot="1" x14ac:dyDescent="0.3">
      <c r="B9" s="96"/>
      <c r="C9" s="41"/>
      <c r="D9" s="41"/>
      <c r="E9" s="41"/>
      <c r="F9" s="41"/>
      <c r="G9" s="41"/>
      <c r="H9" s="41"/>
      <c r="I9" s="192">
        <f>I7-I8</f>
        <v>72.016400000000004</v>
      </c>
    </row>
    <row r="10" spans="1:18" ht="15.75" thickTop="1" x14ac:dyDescent="0.25">
      <c r="B10" s="96"/>
      <c r="C10" s="41"/>
      <c r="D10" s="41"/>
      <c r="E10" s="41"/>
      <c r="F10" s="41"/>
      <c r="G10" s="41"/>
      <c r="H10" s="41"/>
      <c r="I10" s="189"/>
    </row>
    <row r="11" spans="1:18" x14ac:dyDescent="0.25">
      <c r="B11" s="96" t="s">
        <v>103</v>
      </c>
      <c r="C11" s="41"/>
      <c r="D11" s="41"/>
      <c r="E11" s="41"/>
      <c r="F11" s="41"/>
      <c r="G11" s="41"/>
      <c r="H11" s="41"/>
      <c r="I11" s="189">
        <f>I6+I8</f>
        <v>27.983599999999999</v>
      </c>
    </row>
    <row r="12" spans="1:18" x14ac:dyDescent="0.25">
      <c r="B12" s="193" t="s">
        <v>104</v>
      </c>
      <c r="C12" s="193"/>
      <c r="D12" s="193"/>
      <c r="E12" s="193"/>
      <c r="F12" s="193"/>
      <c r="G12" s="193"/>
      <c r="H12" s="193"/>
      <c r="I12" s="194">
        <f>ROUND(I11/I5,2)</f>
        <v>0.28000000000000003</v>
      </c>
    </row>
    <row r="13" spans="1:18" x14ac:dyDescent="0.25">
      <c r="B13" s="96"/>
      <c r="C13" s="41"/>
      <c r="D13" s="41"/>
      <c r="E13" s="41"/>
      <c r="F13" s="41"/>
      <c r="G13" s="41"/>
      <c r="H13" s="41"/>
      <c r="I13" s="189"/>
    </row>
    <row r="14" spans="1:18" x14ac:dyDescent="0.25">
      <c r="B14" s="96"/>
      <c r="C14" s="41"/>
      <c r="D14" s="41"/>
      <c r="E14" s="41"/>
      <c r="F14" s="41"/>
      <c r="G14" s="41"/>
      <c r="H14" s="41"/>
      <c r="I14" s="189"/>
    </row>
    <row r="15" spans="1:18" x14ac:dyDescent="0.25">
      <c r="B15" s="96"/>
      <c r="C15" s="41"/>
      <c r="D15" s="41"/>
      <c r="E15" s="41"/>
      <c r="F15" s="41"/>
      <c r="G15" s="41"/>
      <c r="H15" s="41"/>
      <c r="I15" s="189"/>
    </row>
    <row r="16" spans="1:18" x14ac:dyDescent="0.25">
      <c r="B16" s="96"/>
      <c r="C16" s="41"/>
      <c r="D16" s="41"/>
      <c r="E16" s="41"/>
      <c r="F16" s="41"/>
      <c r="G16" s="41"/>
      <c r="H16" s="41"/>
      <c r="I16" s="189"/>
    </row>
    <row r="17" spans="2:9" x14ac:dyDescent="0.25">
      <c r="B17" s="96"/>
      <c r="C17" s="41"/>
      <c r="D17" s="41"/>
      <c r="E17" s="41"/>
      <c r="F17" s="41"/>
      <c r="G17" s="41"/>
      <c r="H17" s="41"/>
      <c r="I17" s="189"/>
    </row>
    <row r="18" spans="2:9" x14ac:dyDescent="0.25">
      <c r="B18" s="96"/>
      <c r="C18" s="41"/>
      <c r="D18" s="41"/>
      <c r="E18" s="41"/>
      <c r="F18" s="41"/>
      <c r="G18" s="41"/>
      <c r="H18" s="41"/>
      <c r="I18" s="189"/>
    </row>
    <row r="19" spans="2:9" x14ac:dyDescent="0.25">
      <c r="B19" s="96"/>
      <c r="C19" s="41"/>
      <c r="D19" s="41"/>
      <c r="E19" s="41"/>
      <c r="F19" s="41"/>
      <c r="G19" s="41"/>
      <c r="H19" s="41"/>
      <c r="I19" s="189"/>
    </row>
    <row r="20" spans="2:9" x14ac:dyDescent="0.25">
      <c r="B20" s="96"/>
      <c r="C20" s="41"/>
      <c r="D20" s="41"/>
      <c r="E20" s="41"/>
      <c r="F20" s="41"/>
      <c r="G20" s="41"/>
      <c r="H20" s="41"/>
      <c r="I20" s="189"/>
    </row>
    <row r="21" spans="2:9" x14ac:dyDescent="0.25">
      <c r="B21" s="96"/>
      <c r="C21" s="41"/>
      <c r="D21" s="41"/>
      <c r="E21" s="41"/>
      <c r="F21" s="41"/>
      <c r="G21" s="41"/>
      <c r="H21" s="41"/>
      <c r="I21" s="189"/>
    </row>
    <row r="22" spans="2:9" x14ac:dyDescent="0.25">
      <c r="B22" s="96"/>
      <c r="C22" s="41"/>
      <c r="D22" s="41"/>
      <c r="E22" s="41"/>
      <c r="F22" s="41"/>
      <c r="G22" s="41"/>
      <c r="H22" s="41"/>
      <c r="I22" s="189"/>
    </row>
  </sheetData>
  <pageMargins left="0.7" right="0.7" top="0.75" bottom="0.75" header="0.3" footer="0.3"/>
  <pageSetup scale="94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D4D-FCA3-4546-9DDB-9B46C661903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30B8-3B4C-453A-8637-6FEC15A7DCF5}">
  <dimension ref="A1:T33"/>
  <sheetViews>
    <sheetView workbookViewId="0">
      <selection activeCell="L9" sqref="L9"/>
    </sheetView>
  </sheetViews>
  <sheetFormatPr defaultRowHeight="15" x14ac:dyDescent="0.25"/>
  <cols>
    <col min="1" max="4" width="3.28515625" style="1" customWidth="1"/>
    <col min="5" max="8" width="9.140625" style="1"/>
    <col min="9" max="18" width="9.5703125" style="1" bestFit="1" customWidth="1"/>
    <col min="19" max="16384" width="9.140625" style="1"/>
  </cols>
  <sheetData>
    <row r="1" spans="1:20" x14ac:dyDescent="0.25">
      <c r="A1" s="11" t="s">
        <v>60</v>
      </c>
    </row>
    <row r="2" spans="1:20" x14ac:dyDescent="0.25">
      <c r="A2" s="11"/>
    </row>
    <row r="3" spans="1:20" x14ac:dyDescent="0.25">
      <c r="A3" s="11"/>
    </row>
    <row r="4" spans="1:20" x14ac:dyDescent="0.25">
      <c r="A4" s="11"/>
    </row>
    <row r="5" spans="1:20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20" x14ac:dyDescent="0.25">
      <c r="I6" s="121" t="str">
        <f>J6</f>
        <v>12/31</v>
      </c>
      <c r="J6" s="121" t="str">
        <f>K6</f>
        <v>12/31</v>
      </c>
      <c r="K6" s="121" t="str">
        <f>L6</f>
        <v>12/31</v>
      </c>
      <c r="L6" s="121" t="str">
        <f>M6</f>
        <v>12/31</v>
      </c>
      <c r="M6" s="121" t="str">
        <f>TEXT(LFY,"mm/d")</f>
        <v>12/31</v>
      </c>
      <c r="N6" s="146" t="str">
        <f>TEXT(NFY,"mm/d")</f>
        <v>12/31</v>
      </c>
      <c r="O6" s="122" t="str">
        <f>TEXT(NFY,"mm/d")</f>
        <v>12/31</v>
      </c>
      <c r="P6" s="122" t="str">
        <f>TEXT(NFY,"mm/d")</f>
        <v>12/31</v>
      </c>
      <c r="Q6" s="122" t="str">
        <f>TEXT(NFY,"mm/d")</f>
        <v>12/31</v>
      </c>
      <c r="R6" s="122" t="str">
        <f>TEXT(NFY,"mm/d")</f>
        <v>12/31</v>
      </c>
      <c r="S6" s="122"/>
    </row>
    <row r="7" spans="1:20" x14ac:dyDescent="0.25">
      <c r="I7" s="78">
        <f>J7-1</f>
        <v>2016</v>
      </c>
      <c r="J7" s="78">
        <f>K7-1</f>
        <v>2017</v>
      </c>
      <c r="K7" s="78">
        <f>L7-1</f>
        <v>2018</v>
      </c>
      <c r="L7" s="78">
        <f>M7-1</f>
        <v>2019</v>
      </c>
      <c r="M7" s="78">
        <f>YEAR(LFY)</f>
        <v>2020</v>
      </c>
      <c r="N7" s="79">
        <f>YEAR(NFY)</f>
        <v>2021</v>
      </c>
      <c r="O7" s="78">
        <f>N7+1</f>
        <v>2022</v>
      </c>
      <c r="P7" s="78">
        <f t="shared" ref="P7:R7" si="0">O7+1</f>
        <v>2023</v>
      </c>
      <c r="Q7" s="78">
        <f t="shared" si="0"/>
        <v>2024</v>
      </c>
      <c r="R7" s="78">
        <f t="shared" si="0"/>
        <v>2025</v>
      </c>
      <c r="S7" s="122"/>
      <c r="T7" s="1" t="s">
        <v>62</v>
      </c>
    </row>
    <row r="8" spans="1:20" x14ac:dyDescent="0.25">
      <c r="N8" s="4"/>
      <c r="O8" s="5"/>
      <c r="P8" s="5"/>
      <c r="Q8" s="5"/>
      <c r="R8" s="5"/>
      <c r="S8" s="5"/>
    </row>
    <row r="9" spans="1:20" x14ac:dyDescent="0.25">
      <c r="B9" s="11" t="s">
        <v>19</v>
      </c>
      <c r="C9" s="11"/>
      <c r="D9" s="11"/>
      <c r="E9" s="11"/>
      <c r="F9" s="11"/>
      <c r="G9" s="11"/>
      <c r="H9" s="11"/>
      <c r="I9" s="154">
        <f>IF(Assumptions!$B$9=Assumptions!$O$11,'Rev. Simplistic'!I28,IF(Assumptions!$B$9=Assumptions!$O$12,'Rev. Volume x Price'!I28,IF(Assumptions!$B$9=Assumptions!$O$13,'Rev. Retail'!I28,IF(Assumptions!$B$9=Assumptions!$O$14,'Rev. Subscription Model'!I28,"Undefined Method"))))</f>
        <v>1000</v>
      </c>
      <c r="J9" s="154">
        <f>IF(Assumptions!$B$9=Assumptions!$O$11,'Rev. Simplistic'!J28,IF(Assumptions!$B$9=Assumptions!$O$12,'Rev. Volume x Price'!J28,IF(Assumptions!$B$9=Assumptions!$O$13,'Rev. Retail'!J28,IF(Assumptions!$B$9=Assumptions!$O$14,'Rev. Subscription Model'!J28,"Undefined Method"))))</f>
        <v>1200</v>
      </c>
      <c r="K9" s="154">
        <f>IF(Assumptions!$B$9=Assumptions!$O$11,'Rev. Simplistic'!K28,IF(Assumptions!$B$9=Assumptions!$O$12,'Rev. Volume x Price'!K28,IF(Assumptions!$B$9=Assumptions!$O$13,'Rev. Retail'!K28,IF(Assumptions!$B$9=Assumptions!$O$14,'Rev. Subscription Model'!K28,"Undefined Method"))))</f>
        <v>1400</v>
      </c>
      <c r="L9" s="154">
        <f>IF(Assumptions!$B$9=Assumptions!$O$11,'Rev. Simplistic'!L28,IF(Assumptions!$B$9=Assumptions!$O$12,'Rev. Volume x Price'!L28,IF(Assumptions!$B$9=Assumptions!$O$13,'Rev. Retail'!L28,IF(Assumptions!$B$9=Assumptions!$O$14,'Rev. Subscription Model'!L28,"Undefined Method"))))</f>
        <v>1600</v>
      </c>
      <c r="M9" s="154">
        <f>IF(Assumptions!$B$9=Assumptions!$O$11,'Rev. Simplistic'!M28,IF(Assumptions!$B$9=Assumptions!$O$12,'Rev. Volume x Price'!M28,IF(Assumptions!$B$9=Assumptions!$O$13,'Rev. Retail'!M28,IF(Assumptions!$B$9=Assumptions!$O$14,'Rev. Subscription Model'!M28,"Undefined Method"))))</f>
        <v>1800</v>
      </c>
      <c r="N9" s="155">
        <f>IF(Assumptions!$B$9=Assumptions!$O$11,'Rev. Simplistic'!N28,IF(Assumptions!$B$9=Assumptions!$O$12,'Rev. Volume x Price'!N28,IF(Assumptions!$B$9=Assumptions!$O$13,'Rev. Retail'!N28,IF(Assumptions!$B$9=Assumptions!$O$14,'Rev. Subscription Model'!N28,"Undefined Method"))))</f>
        <v>1980.0000000000002</v>
      </c>
      <c r="O9" s="154">
        <f>IF(Assumptions!$B$9=Assumptions!$O$11,'Rev. Simplistic'!O28,IF(Assumptions!$B$9=Assumptions!$O$12,'Rev. Volume x Price'!O28,IF(Assumptions!$B$9=Assumptions!$O$13,'Rev. Retail'!O28,IF(Assumptions!$B$9=Assumptions!$O$14,'Rev. Subscription Model'!O28,"Undefined Method"))))</f>
        <v>2128.5</v>
      </c>
      <c r="P9" s="154">
        <f>IF(Assumptions!$B$9=Assumptions!$O$11,'Rev. Simplistic'!P28,IF(Assumptions!$B$9=Assumptions!$O$12,'Rev. Volume x Price'!P28,IF(Assumptions!$B$9=Assumptions!$O$13,'Rev. Retail'!P28,IF(Assumptions!$B$9=Assumptions!$O$14,'Rev. Subscription Model'!P28,"Undefined Method"))))</f>
        <v>2234.9250000000002</v>
      </c>
      <c r="Q9" s="154">
        <f>IF(Assumptions!$B$9=Assumptions!$O$11,'Rev. Simplistic'!Q28,IF(Assumptions!$B$9=Assumptions!$O$12,'Rev. Volume x Price'!Q28,IF(Assumptions!$B$9=Assumptions!$O$13,'Rev. Retail'!Q28,IF(Assumptions!$B$9=Assumptions!$O$14,'Rev. Subscription Model'!Q28,"Undefined Method"))))</f>
        <v>2301.9727500000004</v>
      </c>
      <c r="R9" s="154">
        <f>IF(Assumptions!$B$9=Assumptions!$O$11,'Rev. Simplistic'!R28,IF(Assumptions!$B$9=Assumptions!$O$12,'Rev. Volume x Price'!R28,IF(Assumptions!$B$9=Assumptions!$O$13,'Rev. Retail'!R28,IF(Assumptions!$B$9=Assumptions!$O$14,'Rev. Subscription Model'!R28,"Undefined Method"))))</f>
        <v>2371.0319325000005</v>
      </c>
      <c r="S9" s="5"/>
      <c r="T9" s="1" t="s">
        <v>63</v>
      </c>
    </row>
    <row r="10" spans="1:20" s="7" customFormat="1" x14ac:dyDescent="0.25">
      <c r="B10" s="7" t="s">
        <v>4</v>
      </c>
      <c r="I10" s="8" t="s">
        <v>3</v>
      </c>
      <c r="J10" s="9">
        <f t="shared" ref="J10:O10" si="1">J9/I9-1</f>
        <v>0.19999999999999996</v>
      </c>
      <c r="K10" s="9">
        <f t="shared" si="1"/>
        <v>0.16666666666666674</v>
      </c>
      <c r="L10" s="9">
        <f t="shared" si="1"/>
        <v>0.14285714285714279</v>
      </c>
      <c r="M10" s="9">
        <f t="shared" si="1"/>
        <v>0.125</v>
      </c>
      <c r="N10" s="19">
        <f t="shared" si="1"/>
        <v>0.10000000000000009</v>
      </c>
      <c r="O10" s="39">
        <f t="shared" si="1"/>
        <v>7.4999999999999956E-2</v>
      </c>
      <c r="P10" s="39">
        <f t="shared" ref="P10:R10" si="2">P9/O9-1</f>
        <v>5.0000000000000044E-2</v>
      </c>
      <c r="Q10" s="39">
        <f t="shared" si="2"/>
        <v>3.0000000000000027E-2</v>
      </c>
      <c r="R10" s="39">
        <f t="shared" si="2"/>
        <v>3.0000000000000027E-2</v>
      </c>
      <c r="S10" s="39"/>
    </row>
    <row r="11" spans="1:20" x14ac:dyDescent="0.25">
      <c r="N11" s="4"/>
    </row>
    <row r="12" spans="1:20" x14ac:dyDescent="0.25">
      <c r="B12" s="1" t="s">
        <v>22</v>
      </c>
      <c r="I12" s="159">
        <f>IF(Assumptions!$B$10=Assumptions!$Q$11,'Cost of Rev. Simplistic'!I28,IF(Assumptions!$B$10=Assumptions!$Q$12,'Cost of Rev Vol. x Price'!I28,"Undefined Method"))</f>
        <v>500</v>
      </c>
      <c r="J12" s="159">
        <f>IF(Assumptions!$B$10=Assumptions!$Q$11,'Cost of Rev. Simplistic'!J28,IF(Assumptions!$B$10=Assumptions!$Q$12,'Cost of Rev Vol. x Price'!J28,"Undefined Method"))</f>
        <v>584.29999999999995</v>
      </c>
      <c r="K12" s="159">
        <f>IF(Assumptions!$B$10=Assumptions!$Q$11,'Cost of Rev. Simplistic'!K28,IF(Assumptions!$B$10=Assumptions!$Q$12,'Cost of Rev Vol. x Price'!K28,"Undefined Method"))</f>
        <v>687.45</v>
      </c>
      <c r="L12" s="159">
        <f>IF(Assumptions!$B$10=Assumptions!$Q$11,'Cost of Rev. Simplistic'!L28,IF(Assumptions!$B$10=Assumptions!$Q$12,'Cost of Rev Vol. x Price'!L28,"Undefined Method"))</f>
        <v>759</v>
      </c>
      <c r="M12" s="159">
        <f>IF(Assumptions!$B$10=Assumptions!$Q$11,'Cost of Rev. Simplistic'!M28,IF(Assumptions!$B$10=Assumptions!$Q$12,'Cost of Rev Vol. x Price'!M28,"Undefined Method"))</f>
        <v>863.55</v>
      </c>
      <c r="N12" s="160">
        <f>IF(Assumptions!$B$10=Assumptions!$Q$11,'Cost of Rev. Simplistic'!N28,IF(Assumptions!$B$10=Assumptions!$Q$12,'Cost of Rev Vol. x Price'!N28,"Undefined Method"))</f>
        <v>936.54000000000008</v>
      </c>
      <c r="O12" s="159">
        <f>IF(Assumptions!$B$10=Assumptions!$Q$11,'Cost of Rev. Simplistic'!O28,IF(Assumptions!$B$10=Assumptions!$Q$12,'Cost of Rev Vol. x Price'!O28,"Undefined Method"))</f>
        <v>989.75250000000005</v>
      </c>
      <c r="P12" s="159">
        <f>IF(Assumptions!$B$10=Assumptions!$Q$11,'Cost of Rev. Simplistic'!P28,IF(Assumptions!$B$10=Assumptions!$Q$12,'Cost of Rev Vol. x Price'!P28,"Undefined Method"))</f>
        <v>1019.1258000000001</v>
      </c>
      <c r="Q12" s="159">
        <f>IF(Assumptions!$B$10=Assumptions!$Q$11,'Cost of Rev. Simplistic'!Q28,IF(Assumptions!$B$10=Assumptions!$Q$12,'Cost of Rev Vol. x Price'!Q28,"Undefined Method"))</f>
        <v>1042.7936557500002</v>
      </c>
      <c r="R12" s="159">
        <f>IF(Assumptions!$B$10=Assumptions!$Q$11,'Cost of Rev. Simplistic'!R28,IF(Assumptions!$B$10=Assumptions!$Q$12,'Cost of Rev Vol. x Price'!R28,"Undefined Method"))</f>
        <v>1074.0774654225002</v>
      </c>
      <c r="T12" s="1" t="s">
        <v>63</v>
      </c>
    </row>
    <row r="13" spans="1:20" s="7" customFormat="1" x14ac:dyDescent="0.25">
      <c r="B13" s="7" t="s">
        <v>73</v>
      </c>
      <c r="I13" s="33">
        <f>I12/I9</f>
        <v>0.5</v>
      </c>
      <c r="J13" s="33">
        <f t="shared" ref="J13:R13" si="3">J12/J9</f>
        <v>0.48691666666666661</v>
      </c>
      <c r="K13" s="33">
        <f t="shared" si="3"/>
        <v>0.4910357142857143</v>
      </c>
      <c r="L13" s="33">
        <f t="shared" si="3"/>
        <v>0.47437499999999999</v>
      </c>
      <c r="M13" s="33">
        <f t="shared" si="3"/>
        <v>0.47974999999999995</v>
      </c>
      <c r="N13" s="40">
        <f t="shared" si="3"/>
        <v>0.47299999999999998</v>
      </c>
      <c r="O13" s="33">
        <f t="shared" si="3"/>
        <v>0.46500000000000002</v>
      </c>
      <c r="P13" s="33">
        <f t="shared" si="3"/>
        <v>0.45600000000000002</v>
      </c>
      <c r="Q13" s="33">
        <f t="shared" si="3"/>
        <v>0.45300000000000001</v>
      </c>
      <c r="R13" s="33">
        <f t="shared" si="3"/>
        <v>0.45299999999999996</v>
      </c>
    </row>
    <row r="14" spans="1:20" x14ac:dyDescent="0.25">
      <c r="N14" s="4"/>
    </row>
    <row r="15" spans="1:20" x14ac:dyDescent="0.25">
      <c r="B15" s="11" t="s">
        <v>20</v>
      </c>
      <c r="C15" s="11"/>
      <c r="D15" s="11"/>
      <c r="E15" s="11"/>
      <c r="F15" s="11"/>
      <c r="G15" s="11"/>
      <c r="H15" s="11"/>
      <c r="I15" s="49">
        <f>I9-I12</f>
        <v>500</v>
      </c>
      <c r="J15" s="49">
        <f t="shared" ref="J15:R15" si="4">J9-J12</f>
        <v>615.70000000000005</v>
      </c>
      <c r="K15" s="49">
        <f t="shared" si="4"/>
        <v>712.55</v>
      </c>
      <c r="L15" s="49">
        <f t="shared" si="4"/>
        <v>841</v>
      </c>
      <c r="M15" s="49">
        <f t="shared" si="4"/>
        <v>936.45</v>
      </c>
      <c r="N15" s="52">
        <f t="shared" si="4"/>
        <v>1043.46</v>
      </c>
      <c r="O15" s="49">
        <f t="shared" si="4"/>
        <v>1138.7474999999999</v>
      </c>
      <c r="P15" s="49">
        <f t="shared" si="4"/>
        <v>1215.7991999999999</v>
      </c>
      <c r="Q15" s="49">
        <f t="shared" si="4"/>
        <v>1259.1790942500002</v>
      </c>
      <c r="R15" s="49">
        <f t="shared" si="4"/>
        <v>1296.9544670775003</v>
      </c>
    </row>
    <row r="16" spans="1:20" s="7" customFormat="1" x14ac:dyDescent="0.25">
      <c r="B16" s="7" t="s">
        <v>21</v>
      </c>
      <c r="I16" s="9">
        <f>I15/I9</f>
        <v>0.5</v>
      </c>
      <c r="J16" s="9">
        <f t="shared" ref="J16:R16" si="5">J15/J9</f>
        <v>0.51308333333333334</v>
      </c>
      <c r="K16" s="9">
        <f t="shared" si="5"/>
        <v>0.50896428571428565</v>
      </c>
      <c r="L16" s="9">
        <f t="shared" si="5"/>
        <v>0.52562500000000001</v>
      </c>
      <c r="M16" s="9">
        <f t="shared" si="5"/>
        <v>0.52024999999999999</v>
      </c>
      <c r="N16" s="19">
        <f t="shared" si="5"/>
        <v>0.52699999999999991</v>
      </c>
      <c r="O16" s="9">
        <f t="shared" si="5"/>
        <v>0.53499999999999992</v>
      </c>
      <c r="P16" s="9">
        <f t="shared" si="5"/>
        <v>0.54399999999999993</v>
      </c>
      <c r="Q16" s="9">
        <f t="shared" si="5"/>
        <v>0.54699999999999993</v>
      </c>
      <c r="R16" s="9">
        <f t="shared" si="5"/>
        <v>0.54700000000000004</v>
      </c>
    </row>
    <row r="17" spans="2:20" x14ac:dyDescent="0.25">
      <c r="N17" s="4"/>
    </row>
    <row r="18" spans="2:20" x14ac:dyDescent="0.25">
      <c r="B18" s="1" t="s">
        <v>229</v>
      </c>
      <c r="I18" s="170">
        <f>IF(Assumptions!$B$11=Assumptions!$S$11,'Opex Simplistic Growth'!I28,IF(Assumptions!$B$11=Assumptions!$S$12,'Opex Simplistic % of Revenue'!I28,IF(Assumptions!$B$11=Assumptions!$S$13,'Opex Fixed vs. Variable'!I28,"Undefined Method")))</f>
        <v>225</v>
      </c>
      <c r="J18" s="170">
        <f>IF(Assumptions!$B$11=Assumptions!$S$11,'Opex Simplistic Growth'!J28,IF(Assumptions!$B$11=Assumptions!$S$12,'Opex Simplistic % of Revenue'!J28,IF(Assumptions!$B$11=Assumptions!$S$13,'Opex Fixed vs. Variable'!J28,"Undefined Method")))</f>
        <v>241</v>
      </c>
      <c r="K18" s="170">
        <f>IF(Assumptions!$B$11=Assumptions!$S$11,'Opex Simplistic Growth'!K28,IF(Assumptions!$B$11=Assumptions!$S$12,'Opex Simplistic % of Revenue'!K28,IF(Assumptions!$B$11=Assumptions!$S$13,'Opex Fixed vs. Variable'!K28,"Undefined Method")))</f>
        <v>262</v>
      </c>
      <c r="L18" s="170">
        <f>IF(Assumptions!$B$11=Assumptions!$S$11,'Opex Simplistic Growth'!L28,IF(Assumptions!$B$11=Assumptions!$S$12,'Opex Simplistic % of Revenue'!L28,IF(Assumptions!$B$11=Assumptions!$S$13,'Opex Fixed vs. Variable'!L28,"Undefined Method")))</f>
        <v>358.05</v>
      </c>
      <c r="M18" s="281">
        <f>IF(Assumptions!$B$11=Assumptions!$S$11,'Opex Simplistic Growth'!M28,IF(Assumptions!$B$11=Assumptions!$S$12,'Opex Simplistic % of Revenue'!M28,IF(Assumptions!$B$11=Assumptions!$S$13,'Opex Fixed vs. Variable'!M28,"Undefined Method")))</f>
        <v>374.1</v>
      </c>
      <c r="N18" s="170">
        <f>IF(Assumptions!$B$11=Assumptions!$S$11,'Opex Simplistic Growth'!N28,IF(Assumptions!$B$11=Assumptions!$S$12,'Opex Simplistic % of Revenue'!N28,IF(Assumptions!$B$11=Assumptions!$S$13,'Opex Fixed vs. Variable'!N28,"Undefined Method")))</f>
        <v>401.68200000000002</v>
      </c>
      <c r="O18" s="170">
        <f>IF(Assumptions!$B$11=Assumptions!$S$11,'Opex Simplistic Growth'!O28,IF(Assumptions!$B$11=Assumptions!$S$12,'Opex Simplistic % of Revenue'!O28,IF(Assumptions!$B$11=Assumptions!$S$13,'Opex Fixed vs. Variable'!O28,"Undefined Method")))</f>
        <v>471.49814000000003</v>
      </c>
      <c r="P18" s="170">
        <f>IF(Assumptions!$B$11=Assumptions!$S$11,'Opex Simplistic Growth'!P28,IF(Assumptions!$B$11=Assumptions!$S$12,'Opex Simplistic % of Revenue'!P28,IF(Assumptions!$B$11=Assumptions!$S$13,'Opex Fixed vs. Variable'!P28,"Undefined Method")))</f>
        <v>482.52447780000006</v>
      </c>
      <c r="Q18" s="170">
        <f>IF(Assumptions!$B$11=Assumptions!$S$11,'Opex Simplistic Growth'!Q28,IF(Assumptions!$B$11=Assumptions!$S$12,'Opex Simplistic % of Revenue'!Q28,IF(Assumptions!$B$11=Assumptions!$S$13,'Opex Fixed vs. Variable'!Q28,"Undefined Method")))</f>
        <v>496.42609860600004</v>
      </c>
      <c r="R18" s="170">
        <f>IF(Assumptions!$B$11=Assumptions!$S$11,'Opex Simplistic Growth'!R28,IF(Assumptions!$B$11=Assumptions!$S$12,'Opex Simplistic % of Revenue'!R28,IF(Assumptions!$B$11=Assumptions!$S$13,'Opex Fixed vs. Variable'!R28,"Undefined Method")))</f>
        <v>510.73328576562</v>
      </c>
      <c r="T18" s="1" t="s">
        <v>63</v>
      </c>
    </row>
    <row r="19" spans="2:20" x14ac:dyDescent="0.25">
      <c r="N19" s="4"/>
    </row>
    <row r="20" spans="2:20" x14ac:dyDescent="0.25">
      <c r="B20" s="11" t="s">
        <v>38</v>
      </c>
      <c r="C20" s="11"/>
      <c r="D20" s="11"/>
      <c r="E20" s="11"/>
      <c r="F20" s="11"/>
      <c r="G20" s="11"/>
      <c r="H20" s="11"/>
      <c r="I20" s="49">
        <f>I15-I18</f>
        <v>275</v>
      </c>
      <c r="J20" s="49">
        <f t="shared" ref="J20:R20" si="6">J15-J18</f>
        <v>374.70000000000005</v>
      </c>
      <c r="K20" s="49">
        <f t="shared" si="6"/>
        <v>450.54999999999995</v>
      </c>
      <c r="L20" s="49">
        <f t="shared" si="6"/>
        <v>482.95</v>
      </c>
      <c r="M20" s="49">
        <f t="shared" si="6"/>
        <v>562.35</v>
      </c>
      <c r="N20" s="52">
        <f t="shared" si="6"/>
        <v>641.77800000000002</v>
      </c>
      <c r="O20" s="49">
        <f t="shared" si="6"/>
        <v>667.24935999999991</v>
      </c>
      <c r="P20" s="49">
        <f t="shared" si="6"/>
        <v>733.27472219999981</v>
      </c>
      <c r="Q20" s="49">
        <f t="shared" si="6"/>
        <v>762.75299564400007</v>
      </c>
      <c r="R20" s="49">
        <f t="shared" si="6"/>
        <v>786.2211813118804</v>
      </c>
    </row>
    <row r="21" spans="2:20" x14ac:dyDescent="0.25">
      <c r="N21" s="4"/>
    </row>
    <row r="22" spans="2:20" x14ac:dyDescent="0.25">
      <c r="B22" s="1" t="s">
        <v>93</v>
      </c>
      <c r="I22" s="26">
        <v>140</v>
      </c>
      <c r="J22" s="26">
        <v>135</v>
      </c>
      <c r="K22" s="26">
        <v>140</v>
      </c>
      <c r="L22" s="26">
        <v>135</v>
      </c>
      <c r="M22" s="26">
        <v>130</v>
      </c>
      <c r="N22" s="143">
        <f>Depreciation!N48</f>
        <v>119.10000000000001</v>
      </c>
      <c r="O22" s="144">
        <f>Depreciation!O48</f>
        <v>141.55500000000001</v>
      </c>
      <c r="P22" s="144">
        <f>Depreciation!P48</f>
        <v>111.31551000000002</v>
      </c>
      <c r="Q22" s="144">
        <f>Depreciation!Q48</f>
        <v>93.705079500000011</v>
      </c>
      <c r="R22" s="144">
        <f>Depreciation!R48</f>
        <v>90.035103960000015</v>
      </c>
    </row>
    <row r="23" spans="2:20" x14ac:dyDescent="0.25">
      <c r="N23" s="4"/>
    </row>
    <row r="24" spans="2:20" x14ac:dyDescent="0.25">
      <c r="B24" s="11" t="s">
        <v>94</v>
      </c>
      <c r="C24" s="11"/>
      <c r="D24" s="11"/>
      <c r="E24" s="11"/>
      <c r="F24" s="11"/>
      <c r="G24" s="11"/>
      <c r="H24" s="11"/>
      <c r="I24" s="49">
        <f t="shared" ref="I24:R24" si="7">I20-SUM(I22:I22)</f>
        <v>135</v>
      </c>
      <c r="J24" s="49">
        <f t="shared" si="7"/>
        <v>239.70000000000005</v>
      </c>
      <c r="K24" s="49">
        <f t="shared" si="7"/>
        <v>310.54999999999995</v>
      </c>
      <c r="L24" s="49">
        <f t="shared" si="7"/>
        <v>347.95</v>
      </c>
      <c r="M24" s="49">
        <f t="shared" si="7"/>
        <v>432.35</v>
      </c>
      <c r="N24" s="52">
        <f t="shared" si="7"/>
        <v>522.678</v>
      </c>
      <c r="O24" s="49">
        <f t="shared" si="7"/>
        <v>525.69435999999996</v>
      </c>
      <c r="P24" s="49">
        <f t="shared" si="7"/>
        <v>621.9592121999998</v>
      </c>
      <c r="Q24" s="49">
        <f t="shared" si="7"/>
        <v>669.04791614400006</v>
      </c>
      <c r="R24" s="49">
        <f t="shared" si="7"/>
        <v>696.18607735188039</v>
      </c>
    </row>
    <row r="25" spans="2:20" x14ac:dyDescent="0.25">
      <c r="N25" s="4"/>
    </row>
    <row r="26" spans="2:20" x14ac:dyDescent="0.25">
      <c r="B26" s="1" t="s">
        <v>89</v>
      </c>
      <c r="I26" s="170">
        <f>'Interest Expense'!I28</f>
        <v>5</v>
      </c>
      <c r="J26" s="170">
        <f>'Interest Expense'!J28</f>
        <v>5</v>
      </c>
      <c r="K26" s="170">
        <f>'Interest Expense'!K28</f>
        <v>7.5</v>
      </c>
      <c r="L26" s="170">
        <f>'Interest Expense'!L28</f>
        <v>10</v>
      </c>
      <c r="M26" s="170">
        <f>'Interest Expense'!M28</f>
        <v>10</v>
      </c>
      <c r="N26" s="171">
        <f>'Interest Expense'!N28</f>
        <v>10.928125000000001</v>
      </c>
      <c r="O26" s="170">
        <f>'Interest Expense'!O28</f>
        <v>12.459531250000001</v>
      </c>
      <c r="P26" s="170">
        <f>'Interest Expense'!P28</f>
        <v>13.325007812500003</v>
      </c>
      <c r="Q26" s="170">
        <f>'Interest Expense'!Q28</f>
        <v>13.676883203125001</v>
      </c>
      <c r="R26" s="170">
        <f>'Interest Expense'!R28</f>
        <v>8.8499831562500031</v>
      </c>
    </row>
    <row r="27" spans="2:20" x14ac:dyDescent="0.25">
      <c r="N27" s="4"/>
    </row>
    <row r="28" spans="2:20" x14ac:dyDescent="0.25">
      <c r="B28" s="1" t="s">
        <v>95</v>
      </c>
      <c r="I28" s="188">
        <f>I24-I26</f>
        <v>130</v>
      </c>
      <c r="J28" s="188">
        <f t="shared" ref="J28:R28" si="8">J24-J26</f>
        <v>234.70000000000005</v>
      </c>
      <c r="K28" s="188">
        <f t="shared" si="8"/>
        <v>303.04999999999995</v>
      </c>
      <c r="L28" s="188">
        <f t="shared" si="8"/>
        <v>337.95</v>
      </c>
      <c r="M28" s="188">
        <f t="shared" si="8"/>
        <v>422.35</v>
      </c>
      <c r="N28" s="83">
        <f t="shared" si="8"/>
        <v>511.74987499999997</v>
      </c>
      <c r="O28" s="188">
        <f t="shared" si="8"/>
        <v>513.23482874999991</v>
      </c>
      <c r="P28" s="188">
        <f t="shared" si="8"/>
        <v>608.63420438749984</v>
      </c>
      <c r="Q28" s="188">
        <f t="shared" si="8"/>
        <v>655.37103294087501</v>
      </c>
      <c r="R28" s="188">
        <f t="shared" si="8"/>
        <v>687.33609419563038</v>
      </c>
    </row>
    <row r="29" spans="2:20" x14ac:dyDescent="0.25">
      <c r="N29" s="4"/>
    </row>
    <row r="30" spans="2:20" x14ac:dyDescent="0.25">
      <c r="B30" s="1" t="str">
        <f>"Income Taxes ("&amp;TEXT('Income Tax Rate'!I12,"0.0%")&amp;")"</f>
        <v>Income Taxes (28.0%)</v>
      </c>
      <c r="I30" s="27">
        <f>I28*'Income Tax Rate'!$I$12</f>
        <v>36.400000000000006</v>
      </c>
      <c r="J30" s="27">
        <f>J28*'Income Tax Rate'!$I$12</f>
        <v>65.716000000000022</v>
      </c>
      <c r="K30" s="27">
        <f>K28*'Income Tax Rate'!$I$12</f>
        <v>84.853999999999999</v>
      </c>
      <c r="L30" s="27">
        <f>L28*'Income Tax Rate'!$I$12</f>
        <v>94.626000000000005</v>
      </c>
      <c r="M30" s="27">
        <f>M28*'Income Tax Rate'!$I$12</f>
        <v>118.25800000000002</v>
      </c>
      <c r="N30" s="195">
        <f>N28*'Income Tax Rate'!$I$12</f>
        <v>143.289965</v>
      </c>
      <c r="O30" s="27">
        <f>O28*'Income Tax Rate'!$I$12</f>
        <v>143.70575205</v>
      </c>
      <c r="P30" s="27">
        <f>P28*'Income Tax Rate'!$I$12</f>
        <v>170.41757722849997</v>
      </c>
      <c r="Q30" s="27">
        <f>Q28*'Income Tax Rate'!$I$12</f>
        <v>183.50388922344501</v>
      </c>
      <c r="R30" s="27">
        <f>R28*'Income Tax Rate'!$I$12</f>
        <v>192.45410637477653</v>
      </c>
    </row>
    <row r="31" spans="2:20" x14ac:dyDescent="0.25">
      <c r="N31" s="4"/>
    </row>
    <row r="32" spans="2:20" ht="15.75" thickBot="1" x14ac:dyDescent="0.3">
      <c r="B32" s="1" t="s">
        <v>96</v>
      </c>
      <c r="I32" s="196">
        <f>I28-I30</f>
        <v>93.6</v>
      </c>
      <c r="J32" s="196">
        <f t="shared" ref="J32:R32" si="9">J28-J30</f>
        <v>168.98400000000004</v>
      </c>
      <c r="K32" s="196">
        <f t="shared" si="9"/>
        <v>218.19599999999997</v>
      </c>
      <c r="L32" s="196">
        <f t="shared" si="9"/>
        <v>243.32399999999998</v>
      </c>
      <c r="M32" s="196">
        <f t="shared" si="9"/>
        <v>304.09199999999998</v>
      </c>
      <c r="N32" s="197">
        <f t="shared" si="9"/>
        <v>368.45990999999998</v>
      </c>
      <c r="O32" s="196">
        <f t="shared" si="9"/>
        <v>369.52907669999991</v>
      </c>
      <c r="P32" s="196">
        <f t="shared" si="9"/>
        <v>438.21662715899987</v>
      </c>
      <c r="Q32" s="196">
        <f t="shared" si="9"/>
        <v>471.86714371743</v>
      </c>
      <c r="R32" s="196">
        <f t="shared" si="9"/>
        <v>494.88198782085385</v>
      </c>
    </row>
    <row r="33" ht="15.75" thickTop="1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A078-1341-4C19-8CFE-67EE61A37F91}">
  <sheetPr>
    <tabColor rgb="FF002060"/>
  </sheetPr>
  <dimension ref="A1:M28"/>
  <sheetViews>
    <sheetView workbookViewId="0">
      <selection activeCell="B4" sqref="B4"/>
    </sheetView>
  </sheetViews>
  <sheetFormatPr defaultRowHeight="15" x14ac:dyDescent="0.25"/>
  <cols>
    <col min="1" max="1" width="3.140625" style="1" customWidth="1"/>
    <col min="2" max="2" width="30.5703125" style="1" customWidth="1"/>
    <col min="3" max="12" width="9.5703125" style="1" bestFit="1" customWidth="1"/>
    <col min="13" max="16384" width="9.140625" style="1"/>
  </cols>
  <sheetData>
    <row r="1" spans="1:13" x14ac:dyDescent="0.25">
      <c r="A1" s="11" t="s">
        <v>40</v>
      </c>
    </row>
    <row r="2" spans="1:13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B4" s="17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5">
      <c r="A5" s="5"/>
      <c r="B5" s="5"/>
      <c r="C5" s="293" t="s">
        <v>1</v>
      </c>
      <c r="D5" s="293"/>
      <c r="E5" s="293"/>
      <c r="F5" s="293"/>
      <c r="G5" s="293"/>
      <c r="H5" s="292" t="s">
        <v>2</v>
      </c>
      <c r="I5" s="293"/>
      <c r="J5" s="293"/>
      <c r="K5" s="293"/>
      <c r="L5" s="293"/>
      <c r="M5" s="5"/>
    </row>
    <row r="6" spans="1:13" x14ac:dyDescent="0.25">
      <c r="A6" s="5"/>
      <c r="B6" s="5"/>
      <c r="C6" s="82" t="str">
        <f>'Rev. Simplistic'!I6</f>
        <v>12/31</v>
      </c>
      <c r="D6" s="82" t="str">
        <f>'Rev. Simplistic'!J6</f>
        <v>12/31</v>
      </c>
      <c r="E6" s="82" t="str">
        <f>'Rev. Simplistic'!K6</f>
        <v>12/31</v>
      </c>
      <c r="F6" s="82" t="str">
        <f>'Rev. Simplistic'!L6</f>
        <v>12/31</v>
      </c>
      <c r="G6" s="82" t="str">
        <f>'Rev. Simplistic'!M6</f>
        <v>12/31</v>
      </c>
      <c r="H6" s="81" t="str">
        <f>'Rev. Simplistic'!N6</f>
        <v>12/31</v>
      </c>
      <c r="I6" s="82" t="str">
        <f>'Rev. Simplistic'!O6</f>
        <v>12/31</v>
      </c>
      <c r="J6" s="82" t="str">
        <f>'Rev. Simplistic'!P6</f>
        <v>12/31</v>
      </c>
      <c r="K6" s="82" t="str">
        <f>'Rev. Simplistic'!Q6</f>
        <v>12/31</v>
      </c>
      <c r="L6" s="82" t="str">
        <f>'Rev. Simplistic'!R6</f>
        <v>12/31</v>
      </c>
      <c r="M6" s="5"/>
    </row>
    <row r="7" spans="1:13" x14ac:dyDescent="0.25">
      <c r="A7" s="5"/>
      <c r="B7" s="5"/>
      <c r="C7" s="87">
        <f>'Rev. Simplistic'!I7</f>
        <v>2016</v>
      </c>
      <c r="D7" s="87">
        <f>'Rev. Simplistic'!J7</f>
        <v>2017</v>
      </c>
      <c r="E7" s="87">
        <f>'Rev. Simplistic'!K7</f>
        <v>2018</v>
      </c>
      <c r="F7" s="87">
        <f>'Rev. Simplistic'!L7</f>
        <v>2019</v>
      </c>
      <c r="G7" s="87">
        <f>'Rev. Simplistic'!M7</f>
        <v>2020</v>
      </c>
      <c r="H7" s="88">
        <f>'Rev. Simplistic'!N7</f>
        <v>2021</v>
      </c>
      <c r="I7" s="87">
        <f>'Rev. Simplistic'!O7</f>
        <v>2022</v>
      </c>
      <c r="J7" s="87">
        <f>'Rev. Simplistic'!P7</f>
        <v>2023</v>
      </c>
      <c r="K7" s="87">
        <f>'Rev. Simplistic'!Q7</f>
        <v>2024</v>
      </c>
      <c r="L7" s="87">
        <f>'Rev. Simplistic'!R7</f>
        <v>2025</v>
      </c>
      <c r="M7" s="5"/>
    </row>
    <row r="8" spans="1:13" x14ac:dyDescent="0.25">
      <c r="A8" s="5"/>
      <c r="B8" s="5"/>
      <c r="C8" s="17"/>
      <c r="D8" s="17"/>
      <c r="E8" s="17"/>
      <c r="F8" s="17"/>
      <c r="G8" s="17"/>
      <c r="H8" s="31"/>
      <c r="I8" s="17"/>
      <c r="J8" s="17"/>
      <c r="K8" s="17"/>
      <c r="L8" s="17"/>
      <c r="M8" s="5"/>
    </row>
    <row r="9" spans="1:13" x14ac:dyDescent="0.25">
      <c r="A9" s="5"/>
      <c r="B9" s="5" t="s">
        <v>41</v>
      </c>
      <c r="C9" s="186">
        <f>'Income Statement'!I9</f>
        <v>1000</v>
      </c>
      <c r="D9" s="186">
        <f>'Income Statement'!J9</f>
        <v>1200</v>
      </c>
      <c r="E9" s="186">
        <f>'Income Statement'!K9</f>
        <v>1400</v>
      </c>
      <c r="F9" s="186">
        <f>'Income Statement'!L9</f>
        <v>1600</v>
      </c>
      <c r="G9" s="186">
        <f>'Income Statement'!M9</f>
        <v>1800</v>
      </c>
      <c r="H9" s="160">
        <f>'Income Statement'!N9</f>
        <v>1980.0000000000002</v>
      </c>
      <c r="I9" s="186">
        <f>'Income Statement'!O9</f>
        <v>2128.5</v>
      </c>
      <c r="J9" s="186">
        <f>'Income Statement'!P9</f>
        <v>2234.9250000000002</v>
      </c>
      <c r="K9" s="186">
        <f>'Income Statement'!Q9</f>
        <v>2301.9727500000004</v>
      </c>
      <c r="L9" s="186">
        <f>'Income Statement'!R9</f>
        <v>2371.0319325000005</v>
      </c>
      <c r="M9" s="5"/>
    </row>
    <row r="10" spans="1:13" x14ac:dyDescent="0.25">
      <c r="A10" s="5"/>
      <c r="B10" s="41" t="s">
        <v>24</v>
      </c>
      <c r="C10" s="39"/>
      <c r="D10" s="39">
        <f t="shared" ref="D10:L10" si="0">D9/C9-1</f>
        <v>0.19999999999999996</v>
      </c>
      <c r="E10" s="39">
        <f t="shared" si="0"/>
        <v>0.16666666666666674</v>
      </c>
      <c r="F10" s="39">
        <f t="shared" si="0"/>
        <v>0.14285714285714279</v>
      </c>
      <c r="G10" s="39">
        <f t="shared" si="0"/>
        <v>0.125</v>
      </c>
      <c r="H10" s="19">
        <f t="shared" si="0"/>
        <v>0.10000000000000009</v>
      </c>
      <c r="I10" s="39">
        <f t="shared" si="0"/>
        <v>7.4999999999999956E-2</v>
      </c>
      <c r="J10" s="39">
        <f t="shared" si="0"/>
        <v>5.0000000000000044E-2</v>
      </c>
      <c r="K10" s="39">
        <f t="shared" si="0"/>
        <v>3.0000000000000027E-2</v>
      </c>
      <c r="L10" s="39">
        <f t="shared" si="0"/>
        <v>3.0000000000000027E-2</v>
      </c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4"/>
      <c r="I11" s="5"/>
      <c r="J11" s="5"/>
      <c r="K11" s="5"/>
      <c r="L11" s="5"/>
      <c r="M11" s="5"/>
    </row>
    <row r="12" spans="1:13" x14ac:dyDescent="0.25">
      <c r="A12" s="5"/>
      <c r="B12" s="17" t="s">
        <v>48</v>
      </c>
      <c r="C12" s="5"/>
      <c r="D12" s="5"/>
      <c r="E12" s="5"/>
      <c r="F12" s="5"/>
      <c r="G12" s="5"/>
      <c r="H12" s="292" t="s">
        <v>43</v>
      </c>
      <c r="I12" s="293"/>
      <c r="J12" s="293"/>
      <c r="K12" s="293"/>
      <c r="L12" s="293"/>
      <c r="M12" s="5"/>
    </row>
    <row r="13" spans="1:13" x14ac:dyDescent="0.25">
      <c r="A13" s="5"/>
      <c r="B13" s="5" t="s">
        <v>42</v>
      </c>
      <c r="C13" s="221">
        <v>45</v>
      </c>
      <c r="D13" s="221">
        <v>50</v>
      </c>
      <c r="E13" s="221">
        <v>20</v>
      </c>
      <c r="F13" s="221">
        <v>60</v>
      </c>
      <c r="G13" s="221">
        <v>100</v>
      </c>
      <c r="H13" s="83">
        <f>H14*H9</f>
        <v>89.100000000000009</v>
      </c>
      <c r="I13" s="84">
        <f t="shared" ref="I13:L13" si="1">I14*I9</f>
        <v>95.782499999999999</v>
      </c>
      <c r="J13" s="84">
        <f t="shared" si="1"/>
        <v>100.571625</v>
      </c>
      <c r="K13" s="84">
        <f t="shared" si="1"/>
        <v>103.58877375000002</v>
      </c>
      <c r="L13" s="84">
        <f t="shared" si="1"/>
        <v>106.69643696250002</v>
      </c>
      <c r="M13" s="5"/>
    </row>
    <row r="14" spans="1:13" x14ac:dyDescent="0.25">
      <c r="A14" s="5"/>
      <c r="B14" s="41" t="s">
        <v>32</v>
      </c>
      <c r="C14" s="39">
        <f>C13/C9</f>
        <v>4.4999999999999998E-2</v>
      </c>
      <c r="D14" s="39">
        <f t="shared" ref="D14:G14" si="2">D13/D9</f>
        <v>4.1666666666666664E-2</v>
      </c>
      <c r="E14" s="39">
        <f t="shared" si="2"/>
        <v>1.4285714285714285E-2</v>
      </c>
      <c r="F14" s="39">
        <f t="shared" si="2"/>
        <v>3.7499999999999999E-2</v>
      </c>
      <c r="G14" s="39">
        <f t="shared" si="2"/>
        <v>5.5555555555555552E-2</v>
      </c>
      <c r="H14" s="85">
        <v>4.4999999999999998E-2</v>
      </c>
      <c r="I14" s="86">
        <f>H14</f>
        <v>4.4999999999999998E-2</v>
      </c>
      <c r="J14" s="86">
        <f>I14</f>
        <v>4.4999999999999998E-2</v>
      </c>
      <c r="K14" s="86">
        <f>J14</f>
        <v>4.4999999999999998E-2</v>
      </c>
      <c r="L14" s="86">
        <f>K14</f>
        <v>4.4999999999999998E-2</v>
      </c>
      <c r="M14" s="5"/>
    </row>
    <row r="15" spans="1:13" x14ac:dyDescent="0.25">
      <c r="A15" s="5"/>
      <c r="B15" s="5"/>
      <c r="C15" s="5"/>
      <c r="D15" s="5"/>
      <c r="E15" s="5"/>
      <c r="F15" s="5"/>
      <c r="G15" s="5"/>
      <c r="H15" s="4"/>
      <c r="I15" s="5"/>
      <c r="J15" s="5"/>
      <c r="K15" s="5"/>
      <c r="L15" s="5"/>
      <c r="M15" s="5"/>
    </row>
    <row r="16" spans="1:13" x14ac:dyDescent="0.25">
      <c r="A16" s="5"/>
      <c r="B16" s="5"/>
      <c r="C16" s="5"/>
      <c r="D16" s="5"/>
      <c r="E16" s="5"/>
      <c r="F16" s="5"/>
      <c r="G16" s="5"/>
      <c r="H16" s="4"/>
      <c r="I16" s="5"/>
      <c r="J16" s="5"/>
      <c r="K16" s="5"/>
      <c r="L16" s="5"/>
      <c r="M16" s="5"/>
    </row>
    <row r="17" spans="1:13" x14ac:dyDescent="0.25">
      <c r="A17" s="5"/>
      <c r="B17" s="17" t="s">
        <v>46</v>
      </c>
      <c r="C17" s="5"/>
      <c r="D17" s="5"/>
      <c r="E17" s="5"/>
      <c r="F17" s="5"/>
      <c r="G17" s="5"/>
      <c r="H17" s="292" t="s">
        <v>44</v>
      </c>
      <c r="I17" s="293"/>
      <c r="J17" s="293"/>
      <c r="K17" s="293"/>
      <c r="L17" s="293"/>
      <c r="M17" s="5"/>
    </row>
    <row r="18" spans="1:13" x14ac:dyDescent="0.25">
      <c r="A18" s="5"/>
      <c r="B18" s="5" t="s">
        <v>42</v>
      </c>
      <c r="C18" s="221">
        <f>C13</f>
        <v>45</v>
      </c>
      <c r="D18" s="221">
        <f>D13</f>
        <v>50</v>
      </c>
      <c r="E18" s="221">
        <f>E13</f>
        <v>20</v>
      </c>
      <c r="F18" s="221">
        <f>F13</f>
        <v>60</v>
      </c>
      <c r="G18" s="221">
        <f>G13</f>
        <v>100</v>
      </c>
      <c r="H18" s="83">
        <f>G18*(1+H19)</f>
        <v>105</v>
      </c>
      <c r="I18" s="84">
        <f>H18*(1+I19)</f>
        <v>110.25</v>
      </c>
      <c r="J18" s="84">
        <f>I18*(1+J19)</f>
        <v>113.5575</v>
      </c>
      <c r="K18" s="84">
        <f>J18*(1+K19)</f>
        <v>116.96422500000001</v>
      </c>
      <c r="L18" s="84">
        <f>K18*(1+L19)</f>
        <v>120.47315175000001</v>
      </c>
      <c r="M18" s="5"/>
    </row>
    <row r="19" spans="1:13" x14ac:dyDescent="0.25">
      <c r="A19" s="5"/>
      <c r="B19" s="41" t="s">
        <v>24</v>
      </c>
      <c r="C19" s="39"/>
      <c r="D19" s="39">
        <f>D18/C18-1</f>
        <v>0.11111111111111116</v>
      </c>
      <c r="E19" s="39">
        <f>E18/D18-1</f>
        <v>-0.6</v>
      </c>
      <c r="F19" s="39">
        <f>F18/E18-1</f>
        <v>2</v>
      </c>
      <c r="G19" s="39">
        <f>G18/F18-1</f>
        <v>0.66666666666666674</v>
      </c>
      <c r="H19" s="85">
        <v>0.05</v>
      </c>
      <c r="I19" s="86">
        <f>H19</f>
        <v>0.05</v>
      </c>
      <c r="J19" s="86">
        <v>0.03</v>
      </c>
      <c r="K19" s="86">
        <v>0.03</v>
      </c>
      <c r="L19" s="86">
        <v>0.03</v>
      </c>
      <c r="M19" s="5"/>
    </row>
    <row r="20" spans="1:13" x14ac:dyDescent="0.25">
      <c r="A20" s="5"/>
      <c r="B20" s="5"/>
      <c r="C20" s="5"/>
      <c r="D20" s="5"/>
      <c r="E20" s="5"/>
      <c r="F20" s="5"/>
      <c r="G20" s="5"/>
      <c r="H20" s="4"/>
      <c r="I20" s="5"/>
      <c r="J20" s="5"/>
      <c r="K20" s="5"/>
      <c r="L20" s="5"/>
      <c r="M20" s="5"/>
    </row>
    <row r="21" spans="1:13" x14ac:dyDescent="0.25">
      <c r="A21" s="5"/>
      <c r="B21" s="5"/>
      <c r="C21" s="5"/>
      <c r="D21" s="5"/>
      <c r="E21" s="5"/>
      <c r="F21" s="5"/>
      <c r="G21" s="5"/>
      <c r="H21" s="4"/>
      <c r="I21" s="5"/>
      <c r="J21" s="5"/>
      <c r="K21" s="5"/>
      <c r="L21" s="5"/>
      <c r="M21" s="5"/>
    </row>
    <row r="22" spans="1:13" x14ac:dyDescent="0.25">
      <c r="A22" s="5"/>
      <c r="B22" s="17" t="s">
        <v>47</v>
      </c>
      <c r="C22" s="5"/>
      <c r="D22" s="5"/>
      <c r="E22" s="5"/>
      <c r="F22" s="5"/>
      <c r="G22" s="5"/>
      <c r="H22" s="292" t="s">
        <v>45</v>
      </c>
      <c r="I22" s="293"/>
      <c r="J22" s="293"/>
      <c r="K22" s="293"/>
      <c r="L22" s="293"/>
      <c r="M22" s="5"/>
    </row>
    <row r="23" spans="1:13" x14ac:dyDescent="0.25">
      <c r="A23" s="5"/>
      <c r="B23" s="5" t="s">
        <v>42</v>
      </c>
      <c r="C23" s="221">
        <f>C13</f>
        <v>45</v>
      </c>
      <c r="D23" s="221">
        <f>D13</f>
        <v>50</v>
      </c>
      <c r="E23" s="221">
        <f>E13</f>
        <v>20</v>
      </c>
      <c r="F23" s="221">
        <f>F13</f>
        <v>60</v>
      </c>
      <c r="G23" s="221">
        <f>G13</f>
        <v>100</v>
      </c>
      <c r="H23" s="83">
        <f>H25*H9</f>
        <v>89.100000000000009</v>
      </c>
      <c r="I23" s="84">
        <f>H23*(1+I24)</f>
        <v>93.555000000000007</v>
      </c>
      <c r="J23" s="84">
        <f>I23*(1+J24)</f>
        <v>98.23275000000001</v>
      </c>
      <c r="K23" s="84">
        <f>J23*(1+K24)</f>
        <v>103.14438750000002</v>
      </c>
      <c r="L23" s="84">
        <f>K23*(1+L24)</f>
        <v>107.27016300000003</v>
      </c>
      <c r="M23" s="5"/>
    </row>
    <row r="24" spans="1:13" x14ac:dyDescent="0.25">
      <c r="A24" s="5"/>
      <c r="B24" s="41" t="s">
        <v>24</v>
      </c>
      <c r="C24" s="39"/>
      <c r="D24" s="39">
        <f>D23/C23-1</f>
        <v>0.11111111111111116</v>
      </c>
      <c r="E24" s="39">
        <f>E23/D23-1</f>
        <v>-0.6</v>
      </c>
      <c r="F24" s="39">
        <f>F23/E23-1</f>
        <v>2</v>
      </c>
      <c r="G24" s="39">
        <f>G23/F23-1</f>
        <v>0.66666666666666674</v>
      </c>
      <c r="H24" s="19"/>
      <c r="I24" s="86">
        <v>0.05</v>
      </c>
      <c r="J24" s="86">
        <v>0.05</v>
      </c>
      <c r="K24" s="86">
        <v>0.05</v>
      </c>
      <c r="L24" s="86">
        <v>0.04</v>
      </c>
      <c r="M24" s="5"/>
    </row>
    <row r="25" spans="1:13" x14ac:dyDescent="0.25">
      <c r="A25" s="5"/>
      <c r="B25" s="41" t="s">
        <v>32</v>
      </c>
      <c r="C25" s="39">
        <f>C23/C9</f>
        <v>4.4999999999999998E-2</v>
      </c>
      <c r="D25" s="39">
        <f t="shared" ref="D25:G25" si="3">D23/D9</f>
        <v>4.1666666666666664E-2</v>
      </c>
      <c r="E25" s="39">
        <f t="shared" si="3"/>
        <v>1.4285714285714285E-2</v>
      </c>
      <c r="F25" s="39">
        <f t="shared" si="3"/>
        <v>3.7499999999999999E-2</v>
      </c>
      <c r="G25" s="39">
        <f t="shared" si="3"/>
        <v>5.5555555555555552E-2</v>
      </c>
      <c r="H25" s="85">
        <v>4.4999999999999998E-2</v>
      </c>
      <c r="I25" s="39"/>
      <c r="J25" s="39"/>
      <c r="K25" s="39"/>
      <c r="L25" s="39"/>
      <c r="M25" s="5"/>
    </row>
    <row r="26" spans="1:13" x14ac:dyDescent="0.25">
      <c r="B26" s="5"/>
      <c r="C26" s="5"/>
      <c r="D26" s="5"/>
      <c r="E26" s="5"/>
      <c r="F26" s="5"/>
      <c r="G26" s="5"/>
      <c r="H26" s="4"/>
      <c r="I26" s="5"/>
      <c r="J26" s="5"/>
      <c r="K26" s="5"/>
      <c r="L26" s="5"/>
    </row>
    <row r="27" spans="1:13" ht="15.75" thickBot="1" x14ac:dyDescent="0.3">
      <c r="B27" s="11" t="s">
        <v>154</v>
      </c>
      <c r="H27" s="227">
        <f>H23</f>
        <v>89.100000000000009</v>
      </c>
      <c r="I27" s="222">
        <f t="shared" ref="I27:L27" si="4">I23</f>
        <v>93.555000000000007</v>
      </c>
      <c r="J27" s="222">
        <f t="shared" si="4"/>
        <v>98.23275000000001</v>
      </c>
      <c r="K27" s="222">
        <f t="shared" si="4"/>
        <v>103.14438750000002</v>
      </c>
      <c r="L27" s="222">
        <f t="shared" si="4"/>
        <v>107.27016300000003</v>
      </c>
    </row>
    <row r="28" spans="1:13" ht="15.75" thickTop="1" x14ac:dyDescent="0.25"/>
  </sheetData>
  <mergeCells count="5">
    <mergeCell ref="H12:L12"/>
    <mergeCell ref="C5:G5"/>
    <mergeCell ref="H5:L5"/>
    <mergeCell ref="H17:L17"/>
    <mergeCell ref="H22:L22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9371-415F-4568-91E4-6D572927814F}">
  <sheetPr>
    <tabColor rgb="FF7030A0"/>
  </sheetPr>
  <dimension ref="A1:T29"/>
  <sheetViews>
    <sheetView workbookViewId="0">
      <selection activeCell="I9" sqref="I9:R9"/>
    </sheetView>
  </sheetViews>
  <sheetFormatPr defaultRowHeight="15" x14ac:dyDescent="0.25"/>
  <cols>
    <col min="1" max="4" width="3.28515625" style="1" customWidth="1"/>
    <col min="5" max="8" width="9.140625" style="1"/>
    <col min="9" max="18" width="9.5703125" style="1" bestFit="1" customWidth="1"/>
    <col min="19" max="16384" width="9.140625" style="1"/>
  </cols>
  <sheetData>
    <row r="1" spans="1:20" x14ac:dyDescent="0.25">
      <c r="A1" s="11" t="s">
        <v>155</v>
      </c>
    </row>
    <row r="2" spans="1:20" x14ac:dyDescent="0.25">
      <c r="A2" s="11"/>
    </row>
    <row r="3" spans="1:20" x14ac:dyDescent="0.25">
      <c r="A3" s="11"/>
    </row>
    <row r="4" spans="1:20" x14ac:dyDescent="0.25">
      <c r="A4" s="11"/>
      <c r="B4" s="11"/>
    </row>
    <row r="5" spans="1:20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20" x14ac:dyDescent="0.25">
      <c r="I6" s="121" t="str">
        <f>J6</f>
        <v>12/31</v>
      </c>
      <c r="J6" s="121" t="str">
        <f>K6</f>
        <v>12/31</v>
      </c>
      <c r="K6" s="121" t="str">
        <f>L6</f>
        <v>12/31</v>
      </c>
      <c r="L6" s="121" t="str">
        <f>M6</f>
        <v>12/31</v>
      </c>
      <c r="M6" s="121" t="str">
        <f>TEXT(LFY,"mm/d")</f>
        <v>12/31</v>
      </c>
      <c r="N6" s="146" t="str">
        <f>TEXT(NFY,"mm/d")</f>
        <v>12/31</v>
      </c>
      <c r="O6" s="122" t="str">
        <f>TEXT(NFY,"mm/d")</f>
        <v>12/31</v>
      </c>
      <c r="P6" s="122" t="str">
        <f>TEXT(NFY,"mm/d")</f>
        <v>12/31</v>
      </c>
      <c r="Q6" s="122" t="str">
        <f>TEXT(NFY,"mm/d")</f>
        <v>12/31</v>
      </c>
      <c r="R6" s="122" t="str">
        <f>TEXT(NFY,"mm/d")</f>
        <v>12/31</v>
      </c>
      <c r="S6" s="122"/>
    </row>
    <row r="7" spans="1:20" x14ac:dyDescent="0.25">
      <c r="I7" s="87">
        <f>J7-1</f>
        <v>2016</v>
      </c>
      <c r="J7" s="87">
        <f>K7-1</f>
        <v>2017</v>
      </c>
      <c r="K7" s="87">
        <f>L7-1</f>
        <v>2018</v>
      </c>
      <c r="L7" s="87">
        <f>M7-1</f>
        <v>2019</v>
      </c>
      <c r="M7" s="87">
        <f>YEAR(LFY)</f>
        <v>2020</v>
      </c>
      <c r="N7" s="88">
        <f>YEAR(NFY)</f>
        <v>2021</v>
      </c>
      <c r="O7" s="87">
        <f>N7+1</f>
        <v>2022</v>
      </c>
      <c r="P7" s="87">
        <f t="shared" ref="P7:R7" si="0">O7+1</f>
        <v>2023</v>
      </c>
      <c r="Q7" s="87">
        <f t="shared" si="0"/>
        <v>2024</v>
      </c>
      <c r="R7" s="87">
        <f t="shared" si="0"/>
        <v>2025</v>
      </c>
      <c r="S7" s="122"/>
      <c r="T7" s="1" t="s">
        <v>62</v>
      </c>
    </row>
    <row r="8" spans="1:20" x14ac:dyDescent="0.25">
      <c r="N8" s="200"/>
      <c r="O8" s="5"/>
      <c r="P8" s="5"/>
      <c r="Q8" s="5"/>
      <c r="R8" s="5"/>
      <c r="S8" s="5"/>
    </row>
    <row r="9" spans="1:20" x14ac:dyDescent="0.25">
      <c r="B9" s="1" t="str">
        <f>'Income Statement'!B9</f>
        <v>Total Revenue</v>
      </c>
      <c r="I9" s="159">
        <f>'Income Statement'!I9</f>
        <v>1000</v>
      </c>
      <c r="J9" s="159">
        <f>'Income Statement'!J9</f>
        <v>1200</v>
      </c>
      <c r="K9" s="159">
        <f>'Income Statement'!K9</f>
        <v>1400</v>
      </c>
      <c r="L9" s="159">
        <f>'Income Statement'!L9</f>
        <v>1600</v>
      </c>
      <c r="M9" s="159">
        <f>'Income Statement'!M9</f>
        <v>1800</v>
      </c>
      <c r="N9" s="160">
        <f>'Income Statement'!N9</f>
        <v>1980.0000000000002</v>
      </c>
      <c r="O9" s="159">
        <f>'Income Statement'!O9</f>
        <v>2128.5</v>
      </c>
      <c r="P9" s="159">
        <f>'Income Statement'!P9</f>
        <v>2234.9250000000002</v>
      </c>
      <c r="Q9" s="159">
        <f>'Income Statement'!Q9</f>
        <v>2301.9727500000004</v>
      </c>
      <c r="R9" s="159">
        <f>'Income Statement'!R9</f>
        <v>2371.0319325000005</v>
      </c>
      <c r="S9" s="5"/>
    </row>
    <row r="10" spans="1:20" x14ac:dyDescent="0.25">
      <c r="N10" s="4"/>
      <c r="O10" s="5"/>
      <c r="P10" s="5"/>
      <c r="Q10" s="5"/>
      <c r="R10" s="5"/>
      <c r="S10" s="5"/>
    </row>
    <row r="11" spans="1:20" s="5" customFormat="1" x14ac:dyDescent="0.25">
      <c r="B11" s="1" t="s">
        <v>108</v>
      </c>
      <c r="C11" s="1"/>
      <c r="D11" s="1"/>
      <c r="E11" s="1"/>
      <c r="F11" s="1"/>
      <c r="G11" s="1"/>
      <c r="H11" s="1"/>
      <c r="I11" s="140">
        <v>50</v>
      </c>
      <c r="J11" s="140">
        <v>60</v>
      </c>
      <c r="K11" s="140">
        <v>55</v>
      </c>
      <c r="L11" s="140">
        <v>75</v>
      </c>
      <c r="M11" s="140">
        <v>75</v>
      </c>
      <c r="N11" s="160"/>
      <c r="O11" s="186"/>
      <c r="P11" s="186"/>
      <c r="Q11" s="186"/>
      <c r="R11" s="186"/>
    </row>
    <row r="12" spans="1:20" s="5" customFormat="1" x14ac:dyDescent="0.25">
      <c r="B12" s="1" t="s">
        <v>109</v>
      </c>
      <c r="C12" s="1"/>
      <c r="D12" s="1"/>
      <c r="E12" s="1"/>
      <c r="F12" s="1"/>
      <c r="G12" s="1"/>
      <c r="H12" s="1"/>
      <c r="I12" s="140">
        <v>90</v>
      </c>
      <c r="J12" s="140">
        <v>110</v>
      </c>
      <c r="K12" s="140">
        <v>115</v>
      </c>
      <c r="L12" s="140">
        <v>130</v>
      </c>
      <c r="M12" s="140">
        <v>145</v>
      </c>
      <c r="N12" s="160"/>
      <c r="O12" s="186"/>
      <c r="P12" s="186"/>
      <c r="Q12" s="186"/>
      <c r="R12" s="186"/>
    </row>
    <row r="13" spans="1:20" s="5" customFormat="1" x14ac:dyDescent="0.25">
      <c r="B13" s="1" t="s">
        <v>110</v>
      </c>
      <c r="C13" s="1"/>
      <c r="D13" s="1"/>
      <c r="E13" s="1"/>
      <c r="F13" s="1"/>
      <c r="G13" s="1"/>
      <c r="H13" s="1"/>
      <c r="I13" s="140">
        <v>120</v>
      </c>
      <c r="J13" s="140">
        <v>145</v>
      </c>
      <c r="K13" s="140">
        <v>170</v>
      </c>
      <c r="L13" s="140">
        <v>185</v>
      </c>
      <c r="M13" s="140">
        <v>200</v>
      </c>
      <c r="N13" s="160"/>
      <c r="O13" s="186"/>
      <c r="P13" s="186"/>
      <c r="Q13" s="186"/>
      <c r="R13" s="186"/>
    </row>
    <row r="14" spans="1:20" s="5" customFormat="1" x14ac:dyDescent="0.25">
      <c r="B14" s="1" t="s">
        <v>111</v>
      </c>
      <c r="C14" s="1"/>
      <c r="D14" s="1"/>
      <c r="E14" s="1"/>
      <c r="F14" s="1"/>
      <c r="G14" s="1"/>
      <c r="H14" s="1"/>
      <c r="I14" s="26">
        <v>25</v>
      </c>
      <c r="J14" s="26">
        <v>26</v>
      </c>
      <c r="K14" s="26">
        <v>30</v>
      </c>
      <c r="L14" s="26">
        <v>31</v>
      </c>
      <c r="M14" s="26">
        <v>33</v>
      </c>
      <c r="N14" s="160"/>
      <c r="O14" s="186"/>
      <c r="P14" s="186"/>
      <c r="Q14" s="186"/>
      <c r="R14" s="186"/>
    </row>
    <row r="15" spans="1:20" s="5" customFormat="1" x14ac:dyDescent="0.25">
      <c r="B15" s="1" t="s">
        <v>112</v>
      </c>
      <c r="C15" s="1"/>
      <c r="D15" s="1"/>
      <c r="E15" s="1"/>
      <c r="F15" s="1"/>
      <c r="G15" s="1"/>
      <c r="H15" s="1"/>
      <c r="I15" s="6">
        <f>SUM(I11:I14)</f>
        <v>285</v>
      </c>
      <c r="J15" s="6">
        <f t="shared" ref="J15:M15" si="1">SUM(J11:J14)</f>
        <v>341</v>
      </c>
      <c r="K15" s="6">
        <f t="shared" si="1"/>
        <v>370</v>
      </c>
      <c r="L15" s="6">
        <f t="shared" si="1"/>
        <v>421</v>
      </c>
      <c r="M15" s="6">
        <f t="shared" si="1"/>
        <v>453</v>
      </c>
      <c r="N15" s="15"/>
      <c r="O15" s="10"/>
      <c r="P15" s="10"/>
      <c r="Q15" s="10"/>
      <c r="R15" s="10"/>
    </row>
    <row r="16" spans="1:20" s="5" customFormat="1" x14ac:dyDescent="0.25"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  <c r="M16" s="6"/>
      <c r="N16" s="15"/>
      <c r="O16" s="10"/>
      <c r="P16" s="10"/>
      <c r="Q16" s="10"/>
      <c r="R16" s="10"/>
    </row>
    <row r="17" spans="2:18" s="5" customFormat="1" x14ac:dyDescent="0.25">
      <c r="B17" s="1" t="s">
        <v>113</v>
      </c>
      <c r="C17" s="1"/>
      <c r="D17" s="1"/>
      <c r="E17" s="1"/>
      <c r="F17" s="1"/>
      <c r="G17" s="1"/>
      <c r="H17" s="1"/>
      <c r="I17" s="140">
        <v>50</v>
      </c>
      <c r="J17" s="140">
        <v>55</v>
      </c>
      <c r="K17" s="140">
        <v>60</v>
      </c>
      <c r="L17" s="140">
        <v>60</v>
      </c>
      <c r="M17" s="140">
        <v>70</v>
      </c>
      <c r="N17" s="160"/>
      <c r="O17" s="186"/>
      <c r="P17" s="186"/>
      <c r="Q17" s="186"/>
      <c r="R17" s="186"/>
    </row>
    <row r="18" spans="2:18" s="5" customFormat="1" x14ac:dyDescent="0.25">
      <c r="B18" s="1" t="s">
        <v>114</v>
      </c>
      <c r="C18" s="1"/>
      <c r="D18" s="1"/>
      <c r="E18" s="1"/>
      <c r="F18" s="1"/>
      <c r="G18" s="1"/>
      <c r="H18" s="1"/>
      <c r="I18" s="140">
        <v>10</v>
      </c>
      <c r="J18" s="140">
        <v>12</v>
      </c>
      <c r="K18" s="140">
        <v>15</v>
      </c>
      <c r="L18" s="140">
        <v>17</v>
      </c>
      <c r="M18" s="140">
        <v>20</v>
      </c>
      <c r="N18" s="160"/>
      <c r="O18" s="186"/>
      <c r="P18" s="186"/>
      <c r="Q18" s="186"/>
      <c r="R18" s="186"/>
    </row>
    <row r="19" spans="2:18" s="5" customFormat="1" x14ac:dyDescent="0.25">
      <c r="B19" s="1" t="s">
        <v>115</v>
      </c>
      <c r="C19" s="1"/>
      <c r="D19" s="1"/>
      <c r="E19" s="1"/>
      <c r="F19" s="1"/>
      <c r="G19" s="1"/>
      <c r="H19" s="1"/>
      <c r="I19" s="26">
        <v>30</v>
      </c>
      <c r="J19" s="26">
        <v>35</v>
      </c>
      <c r="K19" s="26">
        <v>40</v>
      </c>
      <c r="L19" s="26">
        <v>45</v>
      </c>
      <c r="M19" s="26">
        <v>45</v>
      </c>
      <c r="N19" s="160"/>
      <c r="O19" s="186"/>
      <c r="P19" s="186"/>
      <c r="Q19" s="186"/>
      <c r="R19" s="186"/>
    </row>
    <row r="20" spans="2:18" s="5" customFormat="1" x14ac:dyDescent="0.25">
      <c r="B20" s="1" t="s">
        <v>116</v>
      </c>
      <c r="C20" s="1"/>
      <c r="D20" s="1"/>
      <c r="E20" s="1"/>
      <c r="F20" s="1"/>
      <c r="G20" s="1"/>
      <c r="H20" s="1"/>
      <c r="I20" s="65">
        <f>SUM(I17:I19)</f>
        <v>90</v>
      </c>
      <c r="J20" s="65">
        <f t="shared" ref="J20:M20" si="2">SUM(J17:J19)</f>
        <v>102</v>
      </c>
      <c r="K20" s="65">
        <f t="shared" si="2"/>
        <v>115</v>
      </c>
      <c r="L20" s="65">
        <f t="shared" si="2"/>
        <v>122</v>
      </c>
      <c r="M20" s="65">
        <f t="shared" si="2"/>
        <v>135</v>
      </c>
      <c r="N20" s="15"/>
      <c r="O20" s="10"/>
      <c r="P20" s="10"/>
      <c r="Q20" s="10"/>
      <c r="R20" s="10"/>
    </row>
    <row r="21" spans="2:18" s="5" customForma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"/>
    </row>
    <row r="22" spans="2:18" ht="15.75" thickBot="1" x14ac:dyDescent="0.3">
      <c r="B22" s="1" t="s">
        <v>117</v>
      </c>
      <c r="I22" s="196">
        <f>I15-I20</f>
        <v>195</v>
      </c>
      <c r="J22" s="196">
        <f>J15-J20</f>
        <v>239</v>
      </c>
      <c r="K22" s="196">
        <f>K15-K20</f>
        <v>255</v>
      </c>
      <c r="L22" s="196">
        <f>L15-L20</f>
        <v>299</v>
      </c>
      <c r="M22" s="196">
        <f>M15-M20</f>
        <v>318</v>
      </c>
      <c r="N22" s="197">
        <f>N23*N$9</f>
        <v>356.40000000000003</v>
      </c>
      <c r="O22" s="196">
        <f>O23*O$9</f>
        <v>383.13</v>
      </c>
      <c r="P22" s="196">
        <f t="shared" ref="P22:R22" si="3">P23*P$9</f>
        <v>402.28649999999999</v>
      </c>
      <c r="Q22" s="196">
        <f t="shared" si="3"/>
        <v>414.35509500000006</v>
      </c>
      <c r="R22" s="196">
        <f t="shared" si="3"/>
        <v>426.78574785000006</v>
      </c>
    </row>
    <row r="23" spans="2:18" s="7" customFormat="1" ht="15.75" thickTop="1" x14ac:dyDescent="0.25">
      <c r="B23" s="7" t="s">
        <v>32</v>
      </c>
      <c r="I23" s="39">
        <f>I22/I$9</f>
        <v>0.19500000000000001</v>
      </c>
      <c r="J23" s="39">
        <f t="shared" ref="J23:M23" si="4">J22/J$9</f>
        <v>0.19916666666666666</v>
      </c>
      <c r="K23" s="39">
        <f t="shared" si="4"/>
        <v>0.18214285714285713</v>
      </c>
      <c r="L23" s="39">
        <f t="shared" si="4"/>
        <v>0.18687500000000001</v>
      </c>
      <c r="M23" s="39">
        <f t="shared" si="4"/>
        <v>0.17666666666666667</v>
      </c>
      <c r="N23" s="85">
        <v>0.18</v>
      </c>
      <c r="O23" s="127">
        <f>N23</f>
        <v>0.18</v>
      </c>
      <c r="P23" s="127">
        <f>O23</f>
        <v>0.18</v>
      </c>
      <c r="Q23" s="127">
        <f>P23</f>
        <v>0.18</v>
      </c>
      <c r="R23" s="127">
        <f>Q23</f>
        <v>0.18</v>
      </c>
    </row>
    <row r="24" spans="2:18" x14ac:dyDescent="0.25">
      <c r="I24" s="188"/>
      <c r="J24" s="188"/>
      <c r="K24" s="188"/>
      <c r="L24" s="188"/>
      <c r="M24" s="188"/>
      <c r="N24" s="83"/>
      <c r="O24" s="188"/>
      <c r="P24" s="188"/>
      <c r="Q24" s="188"/>
      <c r="R24" s="188"/>
    </row>
    <row r="25" spans="2:18" ht="15.75" thickBot="1" x14ac:dyDescent="0.3">
      <c r="B25" s="1" t="s">
        <v>118</v>
      </c>
      <c r="I25" s="196">
        <f>I22+I19</f>
        <v>225</v>
      </c>
      <c r="J25" s="196">
        <f t="shared" ref="J25:M25" si="5">J22+J19</f>
        <v>274</v>
      </c>
      <c r="K25" s="196">
        <f t="shared" si="5"/>
        <v>295</v>
      </c>
      <c r="L25" s="196">
        <f t="shared" si="5"/>
        <v>344</v>
      </c>
      <c r="M25" s="196">
        <f t="shared" si="5"/>
        <v>363</v>
      </c>
      <c r="N25" s="197">
        <f>N26*N$9</f>
        <v>396.00000000000006</v>
      </c>
      <c r="O25" s="196">
        <f>O26*O$9</f>
        <v>425.70000000000005</v>
      </c>
      <c r="P25" s="196">
        <f t="shared" ref="P25" si="6">P26*P$9</f>
        <v>446.98500000000007</v>
      </c>
      <c r="Q25" s="196">
        <f t="shared" ref="Q25" si="7">Q26*Q$9</f>
        <v>460.39455000000009</v>
      </c>
      <c r="R25" s="196">
        <f t="shared" ref="R25" si="8">R26*R$9</f>
        <v>474.20638650000012</v>
      </c>
    </row>
    <row r="26" spans="2:18" s="7" customFormat="1" ht="15.75" thickTop="1" x14ac:dyDescent="0.25">
      <c r="B26" s="7" t="s">
        <v>32</v>
      </c>
      <c r="I26" s="39">
        <f>I25/I$9</f>
        <v>0.22500000000000001</v>
      </c>
      <c r="J26" s="39">
        <f t="shared" ref="J26" si="9">J25/J$9</f>
        <v>0.22833333333333333</v>
      </c>
      <c r="K26" s="39">
        <f t="shared" ref="K26" si="10">K25/K$9</f>
        <v>0.21071428571428572</v>
      </c>
      <c r="L26" s="39">
        <f t="shared" ref="L26" si="11">L25/L$9</f>
        <v>0.215</v>
      </c>
      <c r="M26" s="39">
        <f t="shared" ref="M26" si="12">M25/M$9</f>
        <v>0.20166666666666666</v>
      </c>
      <c r="N26" s="85">
        <v>0.2</v>
      </c>
      <c r="O26" s="127">
        <f>N26</f>
        <v>0.2</v>
      </c>
      <c r="P26" s="127">
        <f>O26</f>
        <v>0.2</v>
      </c>
      <c r="Q26" s="127">
        <f>P26</f>
        <v>0.2</v>
      </c>
      <c r="R26" s="127">
        <f>Q26</f>
        <v>0.2</v>
      </c>
    </row>
    <row r="27" spans="2:18" x14ac:dyDescent="0.25">
      <c r="I27" s="188"/>
      <c r="J27" s="188"/>
      <c r="K27" s="188"/>
      <c r="L27" s="188"/>
      <c r="M27" s="188"/>
      <c r="N27" s="83"/>
      <c r="O27" s="188"/>
      <c r="P27" s="188"/>
      <c r="Q27" s="188"/>
      <c r="R27" s="188"/>
    </row>
    <row r="28" spans="2:18" ht="15.75" thickBot="1" x14ac:dyDescent="0.3">
      <c r="B28" s="1" t="s">
        <v>119</v>
      </c>
      <c r="I28" s="196">
        <f>I25-I11</f>
        <v>175</v>
      </c>
      <c r="J28" s="196">
        <f>J25-J11</f>
        <v>214</v>
      </c>
      <c r="K28" s="196">
        <f>K25-K11</f>
        <v>240</v>
      </c>
      <c r="L28" s="196">
        <f>L25-L11</f>
        <v>269</v>
      </c>
      <c r="M28" s="196">
        <f>M25-M11</f>
        <v>288</v>
      </c>
      <c r="N28" s="197">
        <f>N29*N$9</f>
        <v>316.80000000000007</v>
      </c>
      <c r="O28" s="196">
        <f>O29*O$9</f>
        <v>340.56</v>
      </c>
      <c r="P28" s="196">
        <f t="shared" ref="P28" si="13">P29*P$9</f>
        <v>357.58800000000002</v>
      </c>
      <c r="Q28" s="196">
        <f t="shared" ref="Q28" si="14">Q29*Q$9</f>
        <v>368.31564000000009</v>
      </c>
      <c r="R28" s="196">
        <f t="shared" ref="R28" si="15">R29*R$9</f>
        <v>379.36510920000006</v>
      </c>
    </row>
    <row r="29" spans="2:18" s="7" customFormat="1" ht="15.75" thickTop="1" x14ac:dyDescent="0.25">
      <c r="B29" s="7" t="s">
        <v>32</v>
      </c>
      <c r="I29" s="39">
        <f>I28/I$9</f>
        <v>0.17499999999999999</v>
      </c>
      <c r="J29" s="39">
        <f t="shared" ref="J29" si="16">J28/J$9</f>
        <v>0.17833333333333334</v>
      </c>
      <c r="K29" s="39">
        <f t="shared" ref="K29" si="17">K28/K$9</f>
        <v>0.17142857142857143</v>
      </c>
      <c r="L29" s="39">
        <f t="shared" ref="L29" si="18">L28/L$9</f>
        <v>0.168125</v>
      </c>
      <c r="M29" s="39">
        <f t="shared" ref="M29" si="19">M28/M$9</f>
        <v>0.16</v>
      </c>
      <c r="N29" s="85">
        <v>0.16</v>
      </c>
      <c r="O29" s="127">
        <f>N29</f>
        <v>0.16</v>
      </c>
      <c r="P29" s="127">
        <f>O29</f>
        <v>0.16</v>
      </c>
      <c r="Q29" s="127">
        <f>P29</f>
        <v>0.16</v>
      </c>
      <c r="R29" s="127">
        <f>Q29</f>
        <v>0.16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E15E-68DA-4032-A5A4-FE4D02B9416D}">
  <sheetPr>
    <tabColor rgb="FF7030A0"/>
  </sheetPr>
  <dimension ref="A1:T29"/>
  <sheetViews>
    <sheetView workbookViewId="0">
      <selection activeCell="I11" sqref="I11"/>
    </sheetView>
  </sheetViews>
  <sheetFormatPr defaultRowHeight="15" x14ac:dyDescent="0.25"/>
  <cols>
    <col min="1" max="4" width="3.28515625" style="1" customWidth="1"/>
    <col min="5" max="8" width="9.140625" style="1"/>
    <col min="9" max="18" width="9.5703125" style="1" bestFit="1" customWidth="1"/>
    <col min="19" max="16384" width="9.140625" style="1"/>
  </cols>
  <sheetData>
    <row r="1" spans="1:20" x14ac:dyDescent="0.25">
      <c r="A1" s="11" t="s">
        <v>156</v>
      </c>
    </row>
    <row r="2" spans="1:20" x14ac:dyDescent="0.25">
      <c r="A2" s="11"/>
    </row>
    <row r="3" spans="1:20" x14ac:dyDescent="0.25">
      <c r="A3" s="11"/>
    </row>
    <row r="4" spans="1:20" x14ac:dyDescent="0.25">
      <c r="A4" s="11"/>
    </row>
    <row r="5" spans="1:20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20" x14ac:dyDescent="0.25">
      <c r="I6" s="121" t="str">
        <f>J6</f>
        <v>12/31</v>
      </c>
      <c r="J6" s="121" t="str">
        <f>K6</f>
        <v>12/31</v>
      </c>
      <c r="K6" s="121" t="str">
        <f>L6</f>
        <v>12/31</v>
      </c>
      <c r="L6" s="121" t="str">
        <f>M6</f>
        <v>12/31</v>
      </c>
      <c r="M6" s="121" t="str">
        <f>TEXT(LFY,"mm/d")</f>
        <v>12/31</v>
      </c>
      <c r="N6" s="146" t="str">
        <f>TEXT(NFY,"mm/d")</f>
        <v>12/31</v>
      </c>
      <c r="O6" s="122" t="str">
        <f>TEXT(NFY,"mm/d")</f>
        <v>12/31</v>
      </c>
      <c r="P6" s="122" t="str">
        <f>TEXT(NFY,"mm/d")</f>
        <v>12/31</v>
      </c>
      <c r="Q6" s="122" t="str">
        <f>TEXT(NFY,"mm/d")</f>
        <v>12/31</v>
      </c>
      <c r="R6" s="122" t="str">
        <f>TEXT(NFY,"mm/d")</f>
        <v>12/31</v>
      </c>
      <c r="S6" s="122"/>
    </row>
    <row r="7" spans="1:20" x14ac:dyDescent="0.25">
      <c r="I7" s="87">
        <f>J7-1</f>
        <v>2016</v>
      </c>
      <c r="J7" s="87">
        <f>K7-1</f>
        <v>2017</v>
      </c>
      <c r="K7" s="87">
        <f>L7-1</f>
        <v>2018</v>
      </c>
      <c r="L7" s="87">
        <f>M7-1</f>
        <v>2019</v>
      </c>
      <c r="M7" s="87">
        <f>YEAR(LFY)</f>
        <v>2020</v>
      </c>
      <c r="N7" s="88">
        <f>YEAR(NFY)</f>
        <v>2021</v>
      </c>
      <c r="O7" s="87">
        <f>N7+1</f>
        <v>2022</v>
      </c>
      <c r="P7" s="87">
        <f t="shared" ref="P7:R7" si="0">O7+1</f>
        <v>2023</v>
      </c>
      <c r="Q7" s="87">
        <f t="shared" si="0"/>
        <v>2024</v>
      </c>
      <c r="R7" s="87">
        <f t="shared" si="0"/>
        <v>2025</v>
      </c>
      <c r="S7" s="122"/>
      <c r="T7" s="1" t="s">
        <v>62</v>
      </c>
    </row>
    <row r="8" spans="1:20" x14ac:dyDescent="0.25">
      <c r="N8" s="200"/>
      <c r="O8" s="5"/>
      <c r="P8" s="5"/>
      <c r="Q8" s="5"/>
      <c r="R8" s="5"/>
      <c r="S8" s="5"/>
    </row>
    <row r="9" spans="1:20" x14ac:dyDescent="0.25">
      <c r="B9" s="1" t="str">
        <f>'Income Statement'!B9</f>
        <v>Total Revenue</v>
      </c>
      <c r="I9" s="159">
        <f>'Income Statement'!I9</f>
        <v>1000</v>
      </c>
      <c r="J9" s="159">
        <f>'Income Statement'!J9</f>
        <v>1200</v>
      </c>
      <c r="K9" s="159">
        <f>'Income Statement'!K9</f>
        <v>1400</v>
      </c>
      <c r="L9" s="159">
        <f>'Income Statement'!L9</f>
        <v>1600</v>
      </c>
      <c r="M9" s="159">
        <f>'Income Statement'!M9</f>
        <v>1800</v>
      </c>
      <c r="N9" s="160">
        <f>'Income Statement'!N9</f>
        <v>1980.0000000000002</v>
      </c>
      <c r="O9" s="159">
        <f>'Income Statement'!O9</f>
        <v>2128.5</v>
      </c>
      <c r="P9" s="159">
        <f>'Income Statement'!P9</f>
        <v>2234.9250000000002</v>
      </c>
      <c r="Q9" s="159">
        <f>'Income Statement'!Q9</f>
        <v>2301.9727500000004</v>
      </c>
      <c r="R9" s="159">
        <f>'Income Statement'!R9</f>
        <v>2371.0319325000005</v>
      </c>
      <c r="S9" s="5"/>
    </row>
    <row r="10" spans="1:20" x14ac:dyDescent="0.25">
      <c r="N10" s="4"/>
      <c r="O10" s="5"/>
      <c r="P10" s="5"/>
      <c r="Q10" s="5"/>
      <c r="R10" s="5"/>
      <c r="S10" s="5"/>
    </row>
    <row r="11" spans="1:20" x14ac:dyDescent="0.25">
      <c r="B11" s="1" t="s">
        <v>108</v>
      </c>
      <c r="I11" s="140">
        <v>50</v>
      </c>
      <c r="J11" s="140">
        <v>60</v>
      </c>
      <c r="K11" s="140">
        <v>55</v>
      </c>
      <c r="L11" s="140">
        <v>75</v>
      </c>
      <c r="M11" s="140">
        <v>75</v>
      </c>
      <c r="N11" s="160">
        <f>Cash!N28</f>
        <v>91.65904109589043</v>
      </c>
      <c r="O11" s="186">
        <f>Cash!O28</f>
        <v>100.08566027397261</v>
      </c>
      <c r="P11" s="186">
        <f>Cash!P28</f>
        <v>102.85275875342468</v>
      </c>
      <c r="Q11" s="186">
        <f>Cash!Q28</f>
        <v>105.42601057232879</v>
      </c>
      <c r="R11" s="186">
        <f>Cash!R28</f>
        <v>108.54868158822741</v>
      </c>
    </row>
    <row r="12" spans="1:20" x14ac:dyDescent="0.25">
      <c r="B12" s="1" t="s">
        <v>109</v>
      </c>
      <c r="I12" s="140">
        <v>90</v>
      </c>
      <c r="J12" s="140">
        <v>110</v>
      </c>
      <c r="K12" s="140">
        <v>115</v>
      </c>
      <c r="L12" s="140">
        <v>130</v>
      </c>
      <c r="M12" s="140">
        <v>145</v>
      </c>
      <c r="N12" s="160">
        <f>'Accounts Receivable'!N28</f>
        <v>162.73972602739727</v>
      </c>
      <c r="O12" s="159">
        <f>'Accounts Receivable'!O28</f>
        <v>174.94520547945206</v>
      </c>
      <c r="P12" s="159">
        <f>'Accounts Receivable'!P28</f>
        <v>183.69246575342467</v>
      </c>
      <c r="Q12" s="159">
        <f>'Accounts Receivable'!Q28</f>
        <v>189.20323972602742</v>
      </c>
      <c r="R12" s="159">
        <f>'Accounts Receivable'!R28</f>
        <v>194.87933691780825</v>
      </c>
    </row>
    <row r="13" spans="1:20" x14ac:dyDescent="0.25">
      <c r="B13" s="1" t="s">
        <v>110</v>
      </c>
      <c r="I13" s="140">
        <v>120</v>
      </c>
      <c r="J13" s="140">
        <v>145</v>
      </c>
      <c r="K13" s="140">
        <v>170</v>
      </c>
      <c r="L13" s="140">
        <v>185</v>
      </c>
      <c r="M13" s="140">
        <v>200</v>
      </c>
      <c r="N13" s="160">
        <f>Inventory!N28</f>
        <v>230.92767123287672</v>
      </c>
      <c r="O13" s="186">
        <f>Inventory!O28</f>
        <v>244.04856164383563</v>
      </c>
      <c r="P13" s="186">
        <f>Inventory!P28</f>
        <v>251.29129315068496</v>
      </c>
      <c r="Q13" s="186">
        <f>Inventory!Q28</f>
        <v>257.12720278767125</v>
      </c>
      <c r="R13" s="186">
        <f>Inventory!R28</f>
        <v>264.8410188713014</v>
      </c>
    </row>
    <row r="14" spans="1:20" x14ac:dyDescent="0.25">
      <c r="B14" s="1" t="s">
        <v>111</v>
      </c>
      <c r="I14" s="26">
        <v>25</v>
      </c>
      <c r="J14" s="26">
        <v>26</v>
      </c>
      <c r="K14" s="26">
        <v>30</v>
      </c>
      <c r="L14" s="26">
        <v>31</v>
      </c>
      <c r="M14" s="26">
        <v>33</v>
      </c>
      <c r="N14" s="171">
        <f>'Other Current Assets'!N28</f>
        <v>35.64</v>
      </c>
      <c r="O14" s="170">
        <f>'Other Current Assets'!O28</f>
        <v>38.312999999999995</v>
      </c>
      <c r="P14" s="170">
        <f>'Other Current Assets'!P28</f>
        <v>40.228650000000002</v>
      </c>
      <c r="Q14" s="170">
        <f>'Other Current Assets'!Q28</f>
        <v>41.435509500000002</v>
      </c>
      <c r="R14" s="170">
        <f>'Other Current Assets'!R28</f>
        <v>42.678574785000002</v>
      </c>
    </row>
    <row r="15" spans="1:20" x14ac:dyDescent="0.25">
      <c r="B15" s="1" t="s">
        <v>112</v>
      </c>
      <c r="I15" s="6">
        <f>SUM(I11:I14)</f>
        <v>285</v>
      </c>
      <c r="J15" s="6">
        <f t="shared" ref="J15:R15" si="1">SUM(J11:J14)</f>
        <v>341</v>
      </c>
      <c r="K15" s="6">
        <f t="shared" si="1"/>
        <v>370</v>
      </c>
      <c r="L15" s="6">
        <f t="shared" si="1"/>
        <v>421</v>
      </c>
      <c r="M15" s="6">
        <f t="shared" si="1"/>
        <v>453</v>
      </c>
      <c r="N15" s="15">
        <f t="shared" si="1"/>
        <v>520.96643835616442</v>
      </c>
      <c r="O15" s="6">
        <f t="shared" si="1"/>
        <v>557.39242739726035</v>
      </c>
      <c r="P15" s="6">
        <f t="shared" si="1"/>
        <v>578.0651676575344</v>
      </c>
      <c r="Q15" s="6">
        <f t="shared" si="1"/>
        <v>593.19196258602744</v>
      </c>
      <c r="R15" s="6">
        <f t="shared" si="1"/>
        <v>610.94761216233712</v>
      </c>
    </row>
    <row r="16" spans="1:20" x14ac:dyDescent="0.25">
      <c r="I16" s="6"/>
      <c r="J16" s="6"/>
      <c r="K16" s="6"/>
      <c r="L16" s="6"/>
      <c r="M16" s="6"/>
      <c r="N16" s="15"/>
      <c r="O16" s="6"/>
      <c r="P16" s="6"/>
      <c r="Q16" s="6"/>
      <c r="R16" s="6"/>
    </row>
    <row r="17" spans="2:18" x14ac:dyDescent="0.25">
      <c r="B17" s="1" t="s">
        <v>113</v>
      </c>
      <c r="I17" s="140">
        <v>50</v>
      </c>
      <c r="J17" s="140">
        <v>55</v>
      </c>
      <c r="K17" s="140">
        <v>60</v>
      </c>
      <c r="L17" s="140">
        <v>60</v>
      </c>
      <c r="M17" s="140">
        <v>70</v>
      </c>
      <c r="N17" s="160">
        <f>'Accounts Payable'!N28</f>
        <v>76.975890410958911</v>
      </c>
      <c r="O17" s="186">
        <f>'Accounts Payable'!O28</f>
        <v>81.349520547945204</v>
      </c>
      <c r="P17" s="186">
        <f>'Accounts Payable'!P28</f>
        <v>83.76376438356165</v>
      </c>
      <c r="Q17" s="186">
        <f>'Accounts Payable'!Q28</f>
        <v>85.709067595890417</v>
      </c>
      <c r="R17" s="186">
        <f>'Accounts Payable'!R28</f>
        <v>88.280339623767134</v>
      </c>
    </row>
    <row r="18" spans="2:18" x14ac:dyDescent="0.25">
      <c r="B18" s="1" t="s">
        <v>114</v>
      </c>
      <c r="I18" s="140">
        <v>10</v>
      </c>
      <c r="J18" s="140">
        <v>12</v>
      </c>
      <c r="K18" s="140">
        <v>15</v>
      </c>
      <c r="L18" s="140">
        <v>17</v>
      </c>
      <c r="M18" s="140">
        <v>20</v>
      </c>
      <c r="N18" s="160">
        <f>'Other Current Liabilities'!N28</f>
        <v>18.075690000000002</v>
      </c>
      <c r="O18" s="186">
        <f>'Other Current Liabilities'!O28</f>
        <v>21.2174163</v>
      </c>
      <c r="P18" s="186">
        <f>'Other Current Liabilities'!P28</f>
        <v>21.713601501000003</v>
      </c>
      <c r="Q18" s="186">
        <f>'Other Current Liabilities'!Q28</f>
        <v>22.33917443727</v>
      </c>
      <c r="R18" s="186">
        <f>'Other Current Liabilities'!R28</f>
        <v>22.982997859452897</v>
      </c>
    </row>
    <row r="19" spans="2:18" x14ac:dyDescent="0.25">
      <c r="B19" s="1" t="s">
        <v>115</v>
      </c>
      <c r="I19" s="26">
        <v>30</v>
      </c>
      <c r="J19" s="26">
        <v>35</v>
      </c>
      <c r="K19" s="26">
        <v>40</v>
      </c>
      <c r="L19" s="26">
        <v>45</v>
      </c>
      <c r="M19" s="26">
        <v>45</v>
      </c>
      <c r="N19" s="294" t="s">
        <v>171</v>
      </c>
      <c r="O19" s="295"/>
      <c r="P19" s="295"/>
      <c r="Q19" s="295"/>
      <c r="R19" s="296"/>
    </row>
    <row r="20" spans="2:18" x14ac:dyDescent="0.25">
      <c r="B20" s="1" t="s">
        <v>116</v>
      </c>
      <c r="I20" s="65">
        <f>SUM(I17:I19)</f>
        <v>90</v>
      </c>
      <c r="J20" s="65">
        <f t="shared" ref="J20:R20" si="2">SUM(J17:J19)</f>
        <v>102</v>
      </c>
      <c r="K20" s="65">
        <f t="shared" si="2"/>
        <v>115</v>
      </c>
      <c r="L20" s="65">
        <f t="shared" si="2"/>
        <v>122</v>
      </c>
      <c r="M20" s="65">
        <f t="shared" si="2"/>
        <v>135</v>
      </c>
      <c r="N20" s="150">
        <f t="shared" si="2"/>
        <v>95.051580410958906</v>
      </c>
      <c r="O20" s="65">
        <f t="shared" si="2"/>
        <v>102.5669368479452</v>
      </c>
      <c r="P20" s="65">
        <f t="shared" si="2"/>
        <v>105.47736588456165</v>
      </c>
      <c r="Q20" s="65">
        <f t="shared" si="2"/>
        <v>108.04824203316042</v>
      </c>
      <c r="R20" s="65">
        <f t="shared" si="2"/>
        <v>111.26333748322003</v>
      </c>
    </row>
    <row r="21" spans="2:18" x14ac:dyDescent="0.25">
      <c r="N21" s="4"/>
    </row>
    <row r="22" spans="2:18" ht="15.75" thickBot="1" x14ac:dyDescent="0.3">
      <c r="B22" s="1" t="s">
        <v>117</v>
      </c>
      <c r="I22" s="196">
        <f t="shared" ref="I22:R22" si="3">I15-I20</f>
        <v>195</v>
      </c>
      <c r="J22" s="196">
        <f t="shared" si="3"/>
        <v>239</v>
      </c>
      <c r="K22" s="196">
        <f t="shared" si="3"/>
        <v>255</v>
      </c>
      <c r="L22" s="196">
        <f t="shared" si="3"/>
        <v>299</v>
      </c>
      <c r="M22" s="196">
        <f t="shared" si="3"/>
        <v>318</v>
      </c>
      <c r="N22" s="197">
        <f t="shared" si="3"/>
        <v>425.91485794520554</v>
      </c>
      <c r="O22" s="196">
        <f t="shared" si="3"/>
        <v>454.82549054931513</v>
      </c>
      <c r="P22" s="196">
        <f t="shared" si="3"/>
        <v>472.58780177297274</v>
      </c>
      <c r="Q22" s="196">
        <f t="shared" si="3"/>
        <v>485.14372055286702</v>
      </c>
      <c r="R22" s="196">
        <f t="shared" si="3"/>
        <v>499.6842746791171</v>
      </c>
    </row>
    <row r="23" spans="2:18" s="7" customFormat="1" ht="15.75" thickTop="1" x14ac:dyDescent="0.25">
      <c r="B23" s="7" t="s">
        <v>32</v>
      </c>
      <c r="I23" s="39">
        <f>I22/I$9</f>
        <v>0.19500000000000001</v>
      </c>
      <c r="J23" s="39">
        <f t="shared" ref="J23:M23" si="4">J22/J$9</f>
        <v>0.19916666666666666</v>
      </c>
      <c r="K23" s="39">
        <f t="shared" si="4"/>
        <v>0.18214285714285713</v>
      </c>
      <c r="L23" s="39">
        <f t="shared" si="4"/>
        <v>0.18687500000000001</v>
      </c>
      <c r="M23" s="39">
        <f t="shared" si="4"/>
        <v>0.17666666666666667</v>
      </c>
      <c r="N23" s="19">
        <f>N22/'Income Statement'!N$9</f>
        <v>0.21510851411374016</v>
      </c>
      <c r="O23" s="39">
        <f>O22/'Income Statement'!O$9</f>
        <v>0.2136835755458375</v>
      </c>
      <c r="P23" s="39">
        <f>P22/'Income Statement'!P$9</f>
        <v>0.21145577671419519</v>
      </c>
      <c r="Q23" s="39">
        <f>Q22/'Income Statement'!Q$9</f>
        <v>0.21075128736987306</v>
      </c>
      <c r="R23" s="39">
        <f>R22/'Income Statement'!R$9</f>
        <v>0.21074548504804541</v>
      </c>
    </row>
    <row r="24" spans="2:18" x14ac:dyDescent="0.25">
      <c r="I24" s="188"/>
      <c r="J24" s="188"/>
      <c r="K24" s="188"/>
      <c r="L24" s="188"/>
      <c r="M24" s="188"/>
      <c r="N24" s="83"/>
      <c r="O24" s="188"/>
      <c r="P24" s="188"/>
      <c r="Q24" s="188"/>
      <c r="R24" s="188"/>
    </row>
    <row r="25" spans="2:18" ht="15.75" thickBot="1" x14ac:dyDescent="0.3">
      <c r="B25" s="1" t="s">
        <v>118</v>
      </c>
      <c r="I25" s="196">
        <f>I22+I19</f>
        <v>225</v>
      </c>
      <c r="J25" s="196">
        <f t="shared" ref="J25:M25" si="5">J22+J19</f>
        <v>274</v>
      </c>
      <c r="K25" s="196">
        <f t="shared" si="5"/>
        <v>295</v>
      </c>
      <c r="L25" s="196">
        <f t="shared" si="5"/>
        <v>344</v>
      </c>
      <c r="M25" s="196">
        <f t="shared" si="5"/>
        <v>363</v>
      </c>
      <c r="N25" s="228" t="s">
        <v>3</v>
      </c>
      <c r="O25" s="229" t="s">
        <v>3</v>
      </c>
      <c r="P25" s="229" t="s">
        <v>3</v>
      </c>
      <c r="Q25" s="229" t="s">
        <v>3</v>
      </c>
      <c r="R25" s="229" t="s">
        <v>3</v>
      </c>
    </row>
    <row r="26" spans="2:18" s="7" customFormat="1" ht="15.75" thickTop="1" x14ac:dyDescent="0.25">
      <c r="B26" s="7" t="s">
        <v>32</v>
      </c>
      <c r="I26" s="39">
        <f>I25/I$9</f>
        <v>0.22500000000000001</v>
      </c>
      <c r="J26" s="39">
        <f t="shared" ref="J26:M26" si="6">J25/J$9</f>
        <v>0.22833333333333333</v>
      </c>
      <c r="K26" s="39">
        <f t="shared" si="6"/>
        <v>0.21071428571428572</v>
      </c>
      <c r="L26" s="39">
        <f t="shared" si="6"/>
        <v>0.215</v>
      </c>
      <c r="M26" s="39">
        <f t="shared" si="6"/>
        <v>0.20166666666666666</v>
      </c>
      <c r="N26" s="230" t="s">
        <v>3</v>
      </c>
      <c r="O26" s="97" t="s">
        <v>3</v>
      </c>
      <c r="P26" s="97" t="s">
        <v>3</v>
      </c>
      <c r="Q26" s="97" t="s">
        <v>3</v>
      </c>
      <c r="R26" s="97" t="s">
        <v>3</v>
      </c>
    </row>
    <row r="27" spans="2:18" x14ac:dyDescent="0.25">
      <c r="I27" s="188"/>
      <c r="J27" s="188"/>
      <c r="K27" s="188"/>
      <c r="L27" s="188"/>
      <c r="M27" s="188"/>
      <c r="N27" s="83"/>
      <c r="O27" s="188"/>
      <c r="P27" s="188"/>
      <c r="Q27" s="188"/>
      <c r="R27" s="188"/>
    </row>
    <row r="28" spans="2:18" ht="15.75" thickBot="1" x14ac:dyDescent="0.3">
      <c r="B28" s="1" t="s">
        <v>119</v>
      </c>
      <c r="I28" s="196">
        <f>I25-I11</f>
        <v>175</v>
      </c>
      <c r="J28" s="196">
        <f>J25-J11</f>
        <v>214</v>
      </c>
      <c r="K28" s="196">
        <f>K25-K11</f>
        <v>240</v>
      </c>
      <c r="L28" s="196">
        <f>L25-L11</f>
        <v>269</v>
      </c>
      <c r="M28" s="196">
        <f>M25-M11</f>
        <v>288</v>
      </c>
      <c r="N28" s="197">
        <f>N22-N11</f>
        <v>334.25581684931512</v>
      </c>
      <c r="O28" s="196">
        <f t="shared" ref="O28:R28" si="7">O22-O11</f>
        <v>354.73983027534251</v>
      </c>
      <c r="P28" s="196">
        <f t="shared" si="7"/>
        <v>369.73504301954807</v>
      </c>
      <c r="Q28" s="196">
        <f t="shared" si="7"/>
        <v>379.71770998053825</v>
      </c>
      <c r="R28" s="196">
        <f t="shared" si="7"/>
        <v>391.1355930908897</v>
      </c>
    </row>
    <row r="29" spans="2:18" s="7" customFormat="1" ht="15.75" thickTop="1" x14ac:dyDescent="0.25">
      <c r="B29" s="7" t="s">
        <v>32</v>
      </c>
      <c r="I29" s="39">
        <f>I28/I$9</f>
        <v>0.17499999999999999</v>
      </c>
      <c r="J29" s="39">
        <f t="shared" ref="J29:M29" si="8">J28/J$9</f>
        <v>0.17833333333333334</v>
      </c>
      <c r="K29" s="39">
        <f t="shared" si="8"/>
        <v>0.17142857142857143</v>
      </c>
      <c r="L29" s="39">
        <f t="shared" si="8"/>
        <v>0.168125</v>
      </c>
      <c r="M29" s="39">
        <f t="shared" si="8"/>
        <v>0.16</v>
      </c>
      <c r="N29" s="19">
        <f>N28/'Income Statement'!N$9</f>
        <v>0.1688160691158157</v>
      </c>
      <c r="O29" s="39">
        <f>O28/'Income Statement'!O$9</f>
        <v>0.16666188878334157</v>
      </c>
      <c r="P29" s="39">
        <f>P28/'Income Statement'!P$9</f>
        <v>0.16543510096291733</v>
      </c>
      <c r="Q29" s="39">
        <f>Q28/'Income Statement'!Q$9</f>
        <v>0.16495317330778056</v>
      </c>
      <c r="R29" s="39">
        <f>R28/'Income Statement'!R$9</f>
        <v>0.16496428737612104</v>
      </c>
    </row>
  </sheetData>
  <mergeCells count="1">
    <mergeCell ref="N19:R1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46B9F-43AB-4015-8B0D-F80EDEF293FF}">
  <sheetPr>
    <tabColor rgb="FF7030A0"/>
  </sheetPr>
  <dimension ref="A1:R33"/>
  <sheetViews>
    <sheetView workbookViewId="0">
      <selection activeCell="B4" sqref="B4"/>
    </sheetView>
  </sheetViews>
  <sheetFormatPr defaultRowHeight="15" outlineLevelRow="1" x14ac:dyDescent="0.25"/>
  <cols>
    <col min="1" max="1" width="2.85546875" style="1" customWidth="1"/>
    <col min="2" max="2" width="45.5703125" style="1" customWidth="1"/>
    <col min="3" max="8" width="2.28515625" style="1" customWidth="1"/>
    <col min="9" max="16384" width="9.140625" style="1"/>
  </cols>
  <sheetData>
    <row r="1" spans="1:18" x14ac:dyDescent="0.25">
      <c r="A1" s="11" t="s">
        <v>107</v>
      </c>
    </row>
    <row r="4" spans="1:18" x14ac:dyDescent="0.25">
      <c r="B4" s="11"/>
    </row>
    <row r="5" spans="1:18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8" x14ac:dyDescent="0.25">
      <c r="I6" s="121" t="str">
        <f>J6</f>
        <v>12/31</v>
      </c>
      <c r="J6" s="121" t="str">
        <f>K6</f>
        <v>12/31</v>
      </c>
      <c r="K6" s="121" t="str">
        <f>L6</f>
        <v>12/31</v>
      </c>
      <c r="L6" s="121" t="str">
        <f>M6</f>
        <v>12/31</v>
      </c>
      <c r="M6" s="121" t="str">
        <f>TEXT(LFY,"mm/d")</f>
        <v>12/31</v>
      </c>
      <c r="N6" s="146" t="str">
        <f>TEXT(NFY,"mm/d")</f>
        <v>12/31</v>
      </c>
      <c r="O6" s="122" t="str">
        <f>TEXT(NFY,"mm/d")</f>
        <v>12/31</v>
      </c>
      <c r="P6" s="122" t="str">
        <f>TEXT(NFY,"mm/d")</f>
        <v>12/31</v>
      </c>
      <c r="Q6" s="122" t="str">
        <f>TEXT(NFY,"mm/d")</f>
        <v>12/31</v>
      </c>
      <c r="R6" s="122" t="str">
        <f>TEXT(NFY,"mm/d")</f>
        <v>12/31</v>
      </c>
    </row>
    <row r="7" spans="1:18" x14ac:dyDescent="0.25">
      <c r="I7" s="87">
        <f>J7-1</f>
        <v>2016</v>
      </c>
      <c r="J7" s="87">
        <f>K7-1</f>
        <v>2017</v>
      </c>
      <c r="K7" s="87">
        <f>L7-1</f>
        <v>2018</v>
      </c>
      <c r="L7" s="87">
        <f>M7-1</f>
        <v>2019</v>
      </c>
      <c r="M7" s="87">
        <f>YEAR(LFY)</f>
        <v>2020</v>
      </c>
      <c r="N7" s="88">
        <f>YEAR(NFY)</f>
        <v>2021</v>
      </c>
      <c r="O7" s="87">
        <f>N7+1</f>
        <v>2022</v>
      </c>
      <c r="P7" s="87">
        <f t="shared" ref="P7:R7" si="0">O7+1</f>
        <v>2023</v>
      </c>
      <c r="Q7" s="87">
        <f t="shared" si="0"/>
        <v>2024</v>
      </c>
      <c r="R7" s="87">
        <f t="shared" si="0"/>
        <v>2025</v>
      </c>
    </row>
    <row r="8" spans="1:18" hidden="1" outlineLevel="1" x14ac:dyDescent="0.25">
      <c r="N8" s="200"/>
    </row>
    <row r="9" spans="1:18" hidden="1" outlineLevel="1" x14ac:dyDescent="0.25">
      <c r="N9" s="4"/>
    </row>
    <row r="10" spans="1:18" hidden="1" outlineLevel="1" x14ac:dyDescent="0.25">
      <c r="N10" s="4"/>
    </row>
    <row r="11" spans="1:18" hidden="1" outlineLevel="1" x14ac:dyDescent="0.25">
      <c r="N11" s="4"/>
    </row>
    <row r="12" spans="1:18" hidden="1" outlineLevel="1" x14ac:dyDescent="0.25">
      <c r="N12" s="4"/>
    </row>
    <row r="13" spans="1:18" hidden="1" outlineLevel="1" x14ac:dyDescent="0.25">
      <c r="N13" s="4"/>
    </row>
    <row r="14" spans="1:18" hidden="1" outlineLevel="1" x14ac:dyDescent="0.25">
      <c r="N14" s="4"/>
    </row>
    <row r="15" spans="1:18" collapsed="1" x14ac:dyDescent="0.25">
      <c r="N15" s="4"/>
    </row>
    <row r="16" spans="1:18" x14ac:dyDescent="0.25">
      <c r="B16" s="1" t="s">
        <v>125</v>
      </c>
      <c r="I16" s="201">
        <f>'Working Capital (Driver Based)'!I11</f>
        <v>50</v>
      </c>
      <c r="J16" s="201">
        <f>'Working Capital (Driver Based)'!J11</f>
        <v>60</v>
      </c>
      <c r="K16" s="201">
        <f>'Working Capital (Driver Based)'!K11</f>
        <v>55</v>
      </c>
      <c r="L16" s="201">
        <f>'Working Capital (Driver Based)'!L11</f>
        <v>75</v>
      </c>
      <c r="M16" s="201">
        <f>'Working Capital (Driver Based)'!M11</f>
        <v>75</v>
      </c>
      <c r="N16" s="50"/>
      <c r="O16" s="51"/>
      <c r="P16" s="51"/>
      <c r="Q16" s="51"/>
      <c r="R16" s="51"/>
    </row>
    <row r="17" spans="2:18" x14ac:dyDescent="0.25">
      <c r="N17" s="4"/>
    </row>
    <row r="18" spans="2:18" x14ac:dyDescent="0.25">
      <c r="B18" s="1" t="s">
        <v>120</v>
      </c>
      <c r="N18" s="4"/>
    </row>
    <row r="19" spans="2:18" x14ac:dyDescent="0.25">
      <c r="B19" s="16" t="str">
        <f>'Income Statement'!B12</f>
        <v>Cost of Revenue</v>
      </c>
      <c r="I19" s="202">
        <f>'Income Statement'!I12</f>
        <v>500</v>
      </c>
      <c r="J19" s="202">
        <f>'Income Statement'!J12</f>
        <v>584.29999999999995</v>
      </c>
      <c r="K19" s="202">
        <f>'Income Statement'!K12</f>
        <v>687.45</v>
      </c>
      <c r="L19" s="202">
        <f>'Income Statement'!L12</f>
        <v>759</v>
      </c>
      <c r="M19" s="202">
        <f>'Income Statement'!M12</f>
        <v>863.55</v>
      </c>
      <c r="N19" s="205">
        <f>'Income Statement'!N12</f>
        <v>936.54000000000008</v>
      </c>
      <c r="O19" s="202">
        <f>'Income Statement'!O12</f>
        <v>989.75250000000005</v>
      </c>
      <c r="P19" s="202">
        <f>'Income Statement'!P12</f>
        <v>1019.1258000000001</v>
      </c>
      <c r="Q19" s="202">
        <f>'Income Statement'!Q12</f>
        <v>1042.7936557500002</v>
      </c>
      <c r="R19" s="202">
        <f>'Income Statement'!R12</f>
        <v>1074.0774654225002</v>
      </c>
    </row>
    <row r="20" spans="2:18" x14ac:dyDescent="0.25">
      <c r="B20" s="16" t="str">
        <f>'Income Statement'!B18</f>
        <v>Operating Expenses (Excl. Depreciation)</v>
      </c>
      <c r="I20" s="203">
        <f>'Income Statement'!I18</f>
        <v>225</v>
      </c>
      <c r="J20" s="203">
        <f>'Income Statement'!J18</f>
        <v>241</v>
      </c>
      <c r="K20" s="203">
        <f>'Income Statement'!K18</f>
        <v>262</v>
      </c>
      <c r="L20" s="203">
        <f>'Income Statement'!L18</f>
        <v>358.05</v>
      </c>
      <c r="M20" s="203">
        <f>'Income Statement'!M18</f>
        <v>374.1</v>
      </c>
      <c r="N20" s="206">
        <f>'Income Statement'!N18</f>
        <v>401.68200000000002</v>
      </c>
      <c r="O20" s="203">
        <f>'Income Statement'!O18</f>
        <v>471.49814000000003</v>
      </c>
      <c r="P20" s="203">
        <f>'Income Statement'!P18</f>
        <v>482.52447780000006</v>
      </c>
      <c r="Q20" s="203">
        <f>'Income Statement'!Q18</f>
        <v>496.42609860600004</v>
      </c>
      <c r="R20" s="203">
        <f>'Income Statement'!R18</f>
        <v>510.73328576562</v>
      </c>
    </row>
    <row r="21" spans="2:18" x14ac:dyDescent="0.25">
      <c r="B21" s="1" t="s">
        <v>121</v>
      </c>
      <c r="I21" s="188">
        <f>SUM(I19:I20)</f>
        <v>725</v>
      </c>
      <c r="J21" s="188">
        <f t="shared" ref="J21:M21" si="1">SUM(J19:J20)</f>
        <v>825.3</v>
      </c>
      <c r="K21" s="188">
        <f t="shared" si="1"/>
        <v>949.45</v>
      </c>
      <c r="L21" s="188">
        <f t="shared" si="1"/>
        <v>1117.05</v>
      </c>
      <c r="M21" s="188">
        <f t="shared" si="1"/>
        <v>1237.6500000000001</v>
      </c>
      <c r="N21" s="83">
        <f t="shared" ref="N21" si="2">SUM(N19:N20)</f>
        <v>1338.2220000000002</v>
      </c>
      <c r="O21" s="188">
        <f t="shared" ref="O21" si="3">SUM(O19:O20)</f>
        <v>1461.2506400000002</v>
      </c>
      <c r="P21" s="188">
        <f t="shared" ref="P21" si="4">SUM(P19:P20)</f>
        <v>1501.6502778000001</v>
      </c>
      <c r="Q21" s="188">
        <f t="shared" ref="Q21" si="5">SUM(Q19:Q20)</f>
        <v>1539.2197543560003</v>
      </c>
      <c r="R21" s="188">
        <f t="shared" ref="R21" si="6">SUM(R19:R20)</f>
        <v>1584.8107511881201</v>
      </c>
    </row>
    <row r="22" spans="2:18" x14ac:dyDescent="0.25">
      <c r="N22" s="4"/>
    </row>
    <row r="23" spans="2:18" x14ac:dyDescent="0.25">
      <c r="B23" s="1" t="s">
        <v>122</v>
      </c>
      <c r="I23" s="27">
        <f>I21/365</f>
        <v>1.9863013698630136</v>
      </c>
      <c r="J23" s="27">
        <f t="shared" ref="J23:R23" si="7">J21/365</f>
        <v>2.2610958904109588</v>
      </c>
      <c r="K23" s="27">
        <f t="shared" si="7"/>
        <v>2.6012328767123289</v>
      </c>
      <c r="L23" s="27">
        <f t="shared" si="7"/>
        <v>3.0604109589041095</v>
      </c>
      <c r="M23" s="27">
        <f t="shared" si="7"/>
        <v>3.3908219178082195</v>
      </c>
      <c r="N23" s="15">
        <f t="shared" si="7"/>
        <v>3.666361643835617</v>
      </c>
      <c r="O23" s="6">
        <f t="shared" si="7"/>
        <v>4.0034264109589044</v>
      </c>
      <c r="P23" s="6">
        <f t="shared" si="7"/>
        <v>4.1141103501369871</v>
      </c>
      <c r="Q23" s="6">
        <f t="shared" si="7"/>
        <v>4.2170404228931515</v>
      </c>
      <c r="R23" s="6">
        <f t="shared" si="7"/>
        <v>4.3419472635290965</v>
      </c>
    </row>
    <row r="24" spans="2:18" x14ac:dyDescent="0.25">
      <c r="N24" s="4"/>
    </row>
    <row r="25" spans="2:18" ht="15.75" thickBot="1" x14ac:dyDescent="0.3">
      <c r="B25" s="1" t="s">
        <v>123</v>
      </c>
      <c r="I25" s="204">
        <f>I16/I23</f>
        <v>25.172413793103448</v>
      </c>
      <c r="J25" s="204">
        <f t="shared" ref="J25:M25" si="8">J16/J23</f>
        <v>26.53580516175936</v>
      </c>
      <c r="K25" s="204">
        <f t="shared" si="8"/>
        <v>21.143820106377376</v>
      </c>
      <c r="L25" s="204">
        <f t="shared" si="8"/>
        <v>24.506512689673695</v>
      </c>
      <c r="M25" s="204">
        <f t="shared" si="8"/>
        <v>22.118531087140951</v>
      </c>
      <c r="N25" s="4"/>
    </row>
    <row r="26" spans="2:18" ht="15.75" thickTop="1" x14ac:dyDescent="0.25">
      <c r="B26" s="1" t="s">
        <v>124</v>
      </c>
      <c r="N26" s="136">
        <v>25</v>
      </c>
      <c r="O26" s="137">
        <f>N26</f>
        <v>25</v>
      </c>
      <c r="P26" s="137">
        <f>O26</f>
        <v>25</v>
      </c>
      <c r="Q26" s="137">
        <f>P26</f>
        <v>25</v>
      </c>
      <c r="R26" s="137">
        <f>Q26</f>
        <v>25</v>
      </c>
    </row>
    <row r="27" spans="2:18" x14ac:dyDescent="0.25">
      <c r="N27" s="4"/>
    </row>
    <row r="28" spans="2:18" ht="15.75" thickBot="1" x14ac:dyDescent="0.3">
      <c r="B28" s="11" t="s">
        <v>126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07">
        <f>N23*N26</f>
        <v>91.65904109589043</v>
      </c>
      <c r="O28" s="208">
        <f t="shared" ref="O28:R28" si="9">O23*O26</f>
        <v>100.08566027397261</v>
      </c>
      <c r="P28" s="208">
        <f t="shared" si="9"/>
        <v>102.85275875342468</v>
      </c>
      <c r="Q28" s="208">
        <f t="shared" si="9"/>
        <v>105.42601057232879</v>
      </c>
      <c r="R28" s="208">
        <f t="shared" si="9"/>
        <v>108.54868158822741</v>
      </c>
    </row>
    <row r="29" spans="2:18" ht="15.75" thickTop="1" x14ac:dyDescent="0.25"/>
    <row r="31" spans="2:18" x14ac:dyDescent="0.25">
      <c r="B31" s="167" t="s">
        <v>127</v>
      </c>
    </row>
    <row r="32" spans="2:18" x14ac:dyDescent="0.25">
      <c r="B32" s="7" t="s">
        <v>230</v>
      </c>
      <c r="C32" s="7"/>
      <c r="D32" s="7"/>
      <c r="E32" s="7"/>
      <c r="F32" s="7"/>
      <c r="G32" s="7"/>
      <c r="H32" s="7"/>
      <c r="I32" s="209">
        <f>'Income Statement'!I9/Cash!I16</f>
        <v>20</v>
      </c>
      <c r="J32" s="209">
        <f>'Income Statement'!J9/Cash!J16</f>
        <v>20</v>
      </c>
      <c r="K32" s="209">
        <f>'Income Statement'!K9/Cash!K16</f>
        <v>25.454545454545453</v>
      </c>
      <c r="L32" s="209">
        <f>'Income Statement'!L9/Cash!L16</f>
        <v>21.333333333333332</v>
      </c>
      <c r="M32" s="209">
        <f>'Income Statement'!M9/Cash!M16</f>
        <v>24</v>
      </c>
      <c r="N32" s="209">
        <f>'Income Statement'!N9/Cash!N28</f>
        <v>21.60179701125822</v>
      </c>
      <c r="O32" s="209">
        <f>'Income Statement'!O9/Cash!O28</f>
        <v>21.26678281557502</v>
      </c>
      <c r="P32" s="209">
        <f>'Income Statement'!P9/Cash!P28</f>
        <v>21.729363675678599</v>
      </c>
      <c r="Q32" s="209">
        <f>'Income Statement'!Q9/Cash!Q28</f>
        <v>21.834960248455044</v>
      </c>
      <c r="R32" s="209">
        <f>'Income Statement'!R9/Cash!R28</f>
        <v>21.843028379601705</v>
      </c>
    </row>
    <row r="33" spans="2:18" x14ac:dyDescent="0.25">
      <c r="B33" s="7" t="s">
        <v>231</v>
      </c>
      <c r="J33" s="285">
        <f>'Income Statement'!J9/AVERAGE(I16:J16)</f>
        <v>21.818181818181817</v>
      </c>
      <c r="K33" s="285">
        <f>'Income Statement'!K9/AVERAGE(J16:K16)</f>
        <v>24.347826086956523</v>
      </c>
      <c r="L33" s="285">
        <f>'Income Statement'!L9/AVERAGE(K16:L16)</f>
        <v>24.615384615384617</v>
      </c>
      <c r="M33" s="285">
        <f>'Income Statement'!M9/AVERAGE(L16:M16)</f>
        <v>24</v>
      </c>
      <c r="N33" s="285">
        <f>'Income Statement'!N9/AVERAGE(M16,N28)</f>
        <v>23.76108715111075</v>
      </c>
      <c r="O33" s="286">
        <f>'Income Statement'!O9/AVERAGE(N28:O28)</f>
        <v>22.201395760024287</v>
      </c>
      <c r="P33" s="286">
        <f>'Income Statement'!P9/AVERAGE(O28:P28)</f>
        <v>22.025647097391438</v>
      </c>
      <c r="Q33" s="286">
        <f>'Income Statement'!Q9/AVERAGE(P28:Q28)</f>
        <v>22.104727788166009</v>
      </c>
      <c r="R33" s="286">
        <f>'Income Statement'!R9/AVERAGE(Q28:R28)</f>
        <v>22.161797814116198</v>
      </c>
    </row>
  </sheetData>
  <pageMargins left="0.7" right="0.7" top="0.75" bottom="0.75" header="0.3" footer="0.3"/>
  <pageSetup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F909-1035-4BB0-B865-78FE298EF72F}">
  <sheetPr>
    <tabColor rgb="FF7030A0"/>
  </sheetPr>
  <dimension ref="A1:R32"/>
  <sheetViews>
    <sheetView workbookViewId="0">
      <selection activeCell="S23" sqref="S23"/>
    </sheetView>
  </sheetViews>
  <sheetFormatPr defaultRowHeight="15" outlineLevelRow="1" x14ac:dyDescent="0.25"/>
  <cols>
    <col min="1" max="1" width="2.85546875" style="1" customWidth="1"/>
    <col min="2" max="2" width="45.5703125" style="1" customWidth="1"/>
    <col min="3" max="8" width="2.28515625" style="1" customWidth="1"/>
    <col min="9" max="18" width="9.140625" style="1" customWidth="1"/>
    <col min="19" max="16384" width="9.140625" style="1"/>
  </cols>
  <sheetData>
    <row r="1" spans="1:18" x14ac:dyDescent="0.25">
      <c r="A1" s="11" t="s">
        <v>128</v>
      </c>
    </row>
    <row r="5" spans="1:18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8" x14ac:dyDescent="0.25">
      <c r="I6" s="121" t="str">
        <f>J6</f>
        <v>12/31</v>
      </c>
      <c r="J6" s="121" t="str">
        <f>K6</f>
        <v>12/31</v>
      </c>
      <c r="K6" s="121" t="str">
        <f>L6</f>
        <v>12/31</v>
      </c>
      <c r="L6" s="121" t="str">
        <f>M6</f>
        <v>12/31</v>
      </c>
      <c r="M6" s="121" t="str">
        <f>TEXT(LFY,"mm/d")</f>
        <v>12/31</v>
      </c>
      <c r="N6" s="146" t="str">
        <f>TEXT(NFY,"mm/d")</f>
        <v>12/31</v>
      </c>
      <c r="O6" s="122" t="str">
        <f>TEXT(NFY,"mm/d")</f>
        <v>12/31</v>
      </c>
      <c r="P6" s="122" t="str">
        <f>TEXT(NFY,"mm/d")</f>
        <v>12/31</v>
      </c>
      <c r="Q6" s="122" t="str">
        <f>TEXT(NFY,"mm/d")</f>
        <v>12/31</v>
      </c>
      <c r="R6" s="122" t="str">
        <f>TEXT(NFY,"mm/d")</f>
        <v>12/31</v>
      </c>
    </row>
    <row r="7" spans="1:18" x14ac:dyDescent="0.25">
      <c r="I7" s="87">
        <f>J7-1</f>
        <v>2016</v>
      </c>
      <c r="J7" s="87">
        <f>K7-1</f>
        <v>2017</v>
      </c>
      <c r="K7" s="87">
        <f>L7-1</f>
        <v>2018</v>
      </c>
      <c r="L7" s="87">
        <f>M7-1</f>
        <v>2019</v>
      </c>
      <c r="M7" s="87">
        <f>YEAR(LFY)</f>
        <v>2020</v>
      </c>
      <c r="N7" s="88">
        <f>YEAR(NFY)</f>
        <v>2021</v>
      </c>
      <c r="O7" s="87">
        <f>N7+1</f>
        <v>2022</v>
      </c>
      <c r="P7" s="87">
        <f t="shared" ref="P7:R7" si="0">O7+1</f>
        <v>2023</v>
      </c>
      <c r="Q7" s="87">
        <f t="shared" si="0"/>
        <v>2024</v>
      </c>
      <c r="R7" s="87">
        <f t="shared" si="0"/>
        <v>2025</v>
      </c>
    </row>
    <row r="8" spans="1:18" hidden="1" outlineLevel="1" x14ac:dyDescent="0.25">
      <c r="N8" s="200"/>
    </row>
    <row r="9" spans="1:18" hidden="1" outlineLevel="1" x14ac:dyDescent="0.25">
      <c r="N9" s="4"/>
    </row>
    <row r="10" spans="1:18" hidden="1" outlineLevel="1" x14ac:dyDescent="0.25">
      <c r="N10" s="4"/>
    </row>
    <row r="11" spans="1:18" hidden="1" outlineLevel="1" x14ac:dyDescent="0.25">
      <c r="N11" s="4"/>
    </row>
    <row r="12" spans="1:18" hidden="1" outlineLevel="1" x14ac:dyDescent="0.25">
      <c r="N12" s="4"/>
    </row>
    <row r="13" spans="1:18" hidden="1" outlineLevel="1" x14ac:dyDescent="0.25">
      <c r="N13" s="4"/>
    </row>
    <row r="14" spans="1:18" hidden="1" outlineLevel="1" x14ac:dyDescent="0.25">
      <c r="N14" s="4"/>
    </row>
    <row r="15" spans="1:18" hidden="1" outlineLevel="1" collapsed="1" x14ac:dyDescent="0.25">
      <c r="N15" s="4"/>
    </row>
    <row r="16" spans="1:18" hidden="1" outlineLevel="1" x14ac:dyDescent="0.25">
      <c r="N16" s="4"/>
    </row>
    <row r="17" spans="2:18" hidden="1" outlineLevel="1" x14ac:dyDescent="0.25">
      <c r="N17" s="4"/>
    </row>
    <row r="18" spans="2:18" collapsed="1" x14ac:dyDescent="0.25">
      <c r="N18" s="4"/>
    </row>
    <row r="19" spans="2:18" x14ac:dyDescent="0.25">
      <c r="B19" s="1" t="s">
        <v>129</v>
      </c>
      <c r="I19" s="159">
        <f>'Working Capital (Driver Based)'!I12</f>
        <v>90</v>
      </c>
      <c r="J19" s="159">
        <f>'Working Capital (Driver Based)'!J12</f>
        <v>110</v>
      </c>
      <c r="K19" s="159">
        <f>'Working Capital (Driver Based)'!K12</f>
        <v>115</v>
      </c>
      <c r="L19" s="159">
        <f>'Working Capital (Driver Based)'!L12</f>
        <v>130</v>
      </c>
      <c r="M19" s="159">
        <f>'Working Capital (Driver Based)'!M12</f>
        <v>145</v>
      </c>
      <c r="N19" s="50"/>
      <c r="O19" s="51"/>
      <c r="P19" s="51"/>
      <c r="Q19" s="51"/>
      <c r="R19" s="51"/>
    </row>
    <row r="20" spans="2:18" x14ac:dyDescent="0.25">
      <c r="N20" s="4"/>
    </row>
    <row r="21" spans="2:18" x14ac:dyDescent="0.25">
      <c r="B21" s="1" t="s">
        <v>19</v>
      </c>
      <c r="I21" s="212">
        <f>'Income Statement'!I9</f>
        <v>1000</v>
      </c>
      <c r="J21" s="212">
        <f>'Income Statement'!J9</f>
        <v>1200</v>
      </c>
      <c r="K21" s="212">
        <f>'Income Statement'!K9</f>
        <v>1400</v>
      </c>
      <c r="L21" s="212">
        <f>'Income Statement'!L9</f>
        <v>1600</v>
      </c>
      <c r="M21" s="212">
        <f>'Income Statement'!M9</f>
        <v>1800</v>
      </c>
      <c r="N21" s="213">
        <f>'Income Statement'!N9</f>
        <v>1980.0000000000002</v>
      </c>
      <c r="O21" s="210">
        <f>'Income Statement'!O9</f>
        <v>2128.5</v>
      </c>
      <c r="P21" s="210">
        <f>'Income Statement'!P9</f>
        <v>2234.9250000000002</v>
      </c>
      <c r="Q21" s="210">
        <f>'Income Statement'!Q9</f>
        <v>2301.9727500000004</v>
      </c>
      <c r="R21" s="210">
        <f>'Income Statement'!R9</f>
        <v>2371.0319325000005</v>
      </c>
    </row>
    <row r="22" spans="2:18" x14ac:dyDescent="0.25">
      <c r="N22" s="4"/>
    </row>
    <row r="23" spans="2:18" x14ac:dyDescent="0.25">
      <c r="B23" s="1" t="s">
        <v>130</v>
      </c>
      <c r="I23" s="211">
        <f>I21/I19</f>
        <v>11.111111111111111</v>
      </c>
      <c r="J23" s="211">
        <f t="shared" ref="J23:M23" si="1">J21/J19</f>
        <v>10.909090909090908</v>
      </c>
      <c r="K23" s="211">
        <f t="shared" si="1"/>
        <v>12.173913043478262</v>
      </c>
      <c r="L23" s="211">
        <f t="shared" si="1"/>
        <v>12.307692307692308</v>
      </c>
      <c r="M23" s="211">
        <f t="shared" si="1"/>
        <v>12.413793103448276</v>
      </c>
      <c r="N23" s="15"/>
      <c r="O23" s="6"/>
      <c r="P23" s="6"/>
      <c r="Q23" s="6"/>
      <c r="R23" s="6"/>
    </row>
    <row r="24" spans="2:18" x14ac:dyDescent="0.25">
      <c r="N24" s="4"/>
    </row>
    <row r="25" spans="2:18" ht="15.75" thickBot="1" x14ac:dyDescent="0.3">
      <c r="B25" s="1" t="s">
        <v>135</v>
      </c>
      <c r="I25" s="204">
        <f>365/I23</f>
        <v>32.85</v>
      </c>
      <c r="J25" s="204">
        <f t="shared" ref="J25:M25" si="2">365/J23</f>
        <v>33.458333333333336</v>
      </c>
      <c r="K25" s="204">
        <f t="shared" si="2"/>
        <v>29.982142857142854</v>
      </c>
      <c r="L25" s="204">
        <f t="shared" si="2"/>
        <v>29.65625</v>
      </c>
      <c r="M25" s="204">
        <f t="shared" si="2"/>
        <v>29.402777777777779</v>
      </c>
      <c r="N25" s="4"/>
    </row>
    <row r="26" spans="2:18" ht="15.75" thickTop="1" x14ac:dyDescent="0.25">
      <c r="B26" s="1" t="s">
        <v>136</v>
      </c>
      <c r="N26" s="24">
        <v>30</v>
      </c>
      <c r="O26" s="26">
        <f>N26</f>
        <v>30</v>
      </c>
      <c r="P26" s="26">
        <f>O26</f>
        <v>30</v>
      </c>
      <c r="Q26" s="26">
        <f>P26</f>
        <v>30</v>
      </c>
      <c r="R26" s="26">
        <f>Q26</f>
        <v>30</v>
      </c>
    </row>
    <row r="27" spans="2:18" x14ac:dyDescent="0.25">
      <c r="N27" s="4"/>
    </row>
    <row r="28" spans="2:18" ht="15.75" thickBot="1" x14ac:dyDescent="0.3">
      <c r="B28" s="11" t="s">
        <v>131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07">
        <f>N21*(N26/365)</f>
        <v>162.73972602739727</v>
      </c>
      <c r="O28" s="208">
        <f t="shared" ref="O28:R28" si="3">O21*(O26/365)</f>
        <v>174.94520547945206</v>
      </c>
      <c r="P28" s="208">
        <f t="shared" si="3"/>
        <v>183.69246575342467</v>
      </c>
      <c r="Q28" s="208">
        <f t="shared" si="3"/>
        <v>189.20323972602742</v>
      </c>
      <c r="R28" s="208">
        <f t="shared" si="3"/>
        <v>194.87933691780825</v>
      </c>
    </row>
    <row r="29" spans="2:18" ht="15.75" thickTop="1" x14ac:dyDescent="0.25"/>
    <row r="31" spans="2:18" x14ac:dyDescent="0.25">
      <c r="B31" s="167"/>
    </row>
    <row r="32" spans="2:18" x14ac:dyDescent="0.25">
      <c r="B32" s="7"/>
      <c r="C32" s="7"/>
      <c r="D32" s="7"/>
      <c r="E32" s="7"/>
      <c r="F32" s="7"/>
      <c r="G32" s="7"/>
      <c r="H32" s="7"/>
      <c r="I32" s="209"/>
      <c r="J32" s="209"/>
      <c r="K32" s="209"/>
      <c r="L32" s="209"/>
      <c r="M32" s="209"/>
      <c r="N32" s="209"/>
      <c r="O32" s="209"/>
      <c r="P32" s="209"/>
      <c r="Q32" s="209"/>
      <c r="R32" s="20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6BDF-FABF-46A4-82BB-11FEAF6B4D77}">
  <sheetPr>
    <tabColor rgb="FF7030A0"/>
  </sheetPr>
  <dimension ref="A1:R32"/>
  <sheetViews>
    <sheetView workbookViewId="0">
      <selection activeCell="B4" sqref="B4"/>
    </sheetView>
  </sheetViews>
  <sheetFormatPr defaultRowHeight="15" outlineLevelRow="1" x14ac:dyDescent="0.25"/>
  <cols>
    <col min="1" max="1" width="2.85546875" style="1" customWidth="1"/>
    <col min="2" max="2" width="45.5703125" style="1" customWidth="1"/>
    <col min="3" max="8" width="2.28515625" style="1" customWidth="1"/>
    <col min="9" max="18" width="9.140625" style="1" customWidth="1"/>
    <col min="19" max="16384" width="9.140625" style="1"/>
  </cols>
  <sheetData>
    <row r="1" spans="1:18" x14ac:dyDescent="0.25">
      <c r="A1" s="11" t="s">
        <v>132</v>
      </c>
    </row>
    <row r="5" spans="1:18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8" x14ac:dyDescent="0.25">
      <c r="I6" s="121" t="str">
        <f>J6</f>
        <v>12/31</v>
      </c>
      <c r="J6" s="121" t="str">
        <f>K6</f>
        <v>12/31</v>
      </c>
      <c r="K6" s="121" t="str">
        <f>L6</f>
        <v>12/31</v>
      </c>
      <c r="L6" s="121" t="str">
        <f>M6</f>
        <v>12/31</v>
      </c>
      <c r="M6" s="121" t="str">
        <f>TEXT(LFY,"mm/d")</f>
        <v>12/31</v>
      </c>
      <c r="N6" s="146" t="str">
        <f>TEXT(NFY,"mm/d")</f>
        <v>12/31</v>
      </c>
      <c r="O6" s="122" t="str">
        <f>TEXT(NFY,"mm/d")</f>
        <v>12/31</v>
      </c>
      <c r="P6" s="122" t="str">
        <f>TEXT(NFY,"mm/d")</f>
        <v>12/31</v>
      </c>
      <c r="Q6" s="122" t="str">
        <f>TEXT(NFY,"mm/d")</f>
        <v>12/31</v>
      </c>
      <c r="R6" s="122" t="str">
        <f>TEXT(NFY,"mm/d")</f>
        <v>12/31</v>
      </c>
    </row>
    <row r="7" spans="1:18" x14ac:dyDescent="0.25">
      <c r="I7" s="87">
        <f>J7-1</f>
        <v>2016</v>
      </c>
      <c r="J7" s="87">
        <f>K7-1</f>
        <v>2017</v>
      </c>
      <c r="K7" s="87">
        <f>L7-1</f>
        <v>2018</v>
      </c>
      <c r="L7" s="87">
        <f>M7-1</f>
        <v>2019</v>
      </c>
      <c r="M7" s="87">
        <f>YEAR(LFY)</f>
        <v>2020</v>
      </c>
      <c r="N7" s="88">
        <f>YEAR(NFY)</f>
        <v>2021</v>
      </c>
      <c r="O7" s="87">
        <f>N7+1</f>
        <v>2022</v>
      </c>
      <c r="P7" s="87">
        <f t="shared" ref="P7:R7" si="0">O7+1</f>
        <v>2023</v>
      </c>
      <c r="Q7" s="87">
        <f t="shared" si="0"/>
        <v>2024</v>
      </c>
      <c r="R7" s="87">
        <f t="shared" si="0"/>
        <v>2025</v>
      </c>
    </row>
    <row r="8" spans="1:18" hidden="1" outlineLevel="1" x14ac:dyDescent="0.25">
      <c r="N8" s="200"/>
    </row>
    <row r="9" spans="1:18" hidden="1" outlineLevel="1" x14ac:dyDescent="0.25">
      <c r="N9" s="4"/>
    </row>
    <row r="10" spans="1:18" hidden="1" outlineLevel="1" x14ac:dyDescent="0.25">
      <c r="N10" s="4"/>
    </row>
    <row r="11" spans="1:18" hidden="1" outlineLevel="1" x14ac:dyDescent="0.25">
      <c r="N11" s="4"/>
    </row>
    <row r="12" spans="1:18" hidden="1" outlineLevel="1" x14ac:dyDescent="0.25">
      <c r="N12" s="4"/>
    </row>
    <row r="13" spans="1:18" hidden="1" outlineLevel="1" x14ac:dyDescent="0.25">
      <c r="N13" s="4"/>
    </row>
    <row r="14" spans="1:18" hidden="1" outlineLevel="1" x14ac:dyDescent="0.25">
      <c r="N14" s="4"/>
    </row>
    <row r="15" spans="1:18" hidden="1" outlineLevel="1" collapsed="1" x14ac:dyDescent="0.25">
      <c r="N15" s="4"/>
    </row>
    <row r="16" spans="1:18" hidden="1" outlineLevel="1" x14ac:dyDescent="0.25">
      <c r="N16" s="4"/>
    </row>
    <row r="17" spans="2:18" hidden="1" outlineLevel="1" x14ac:dyDescent="0.25">
      <c r="N17" s="4"/>
    </row>
    <row r="18" spans="2:18" collapsed="1" x14ac:dyDescent="0.25">
      <c r="N18" s="4"/>
    </row>
    <row r="19" spans="2:18" x14ac:dyDescent="0.25">
      <c r="B19" s="1" t="s">
        <v>133</v>
      </c>
      <c r="I19" s="159">
        <f>'Working Capital (Driver Based)'!I13</f>
        <v>120</v>
      </c>
      <c r="J19" s="159">
        <f>'Working Capital (Driver Based)'!J13</f>
        <v>145</v>
      </c>
      <c r="K19" s="159">
        <f>'Working Capital (Driver Based)'!K13</f>
        <v>170</v>
      </c>
      <c r="L19" s="159">
        <f>'Working Capital (Driver Based)'!L13</f>
        <v>185</v>
      </c>
      <c r="M19" s="159">
        <f>'Working Capital (Driver Based)'!M13</f>
        <v>200</v>
      </c>
      <c r="N19" s="50"/>
      <c r="O19" s="51"/>
      <c r="P19" s="51"/>
      <c r="Q19" s="51"/>
      <c r="R19" s="51"/>
    </row>
    <row r="20" spans="2:18" x14ac:dyDescent="0.25">
      <c r="N20" s="4"/>
    </row>
    <row r="21" spans="2:18" x14ac:dyDescent="0.25">
      <c r="B21" s="1" t="s">
        <v>30</v>
      </c>
      <c r="I21" s="212">
        <f>'Income Statement'!I12</f>
        <v>500</v>
      </c>
      <c r="J21" s="212">
        <f>'Income Statement'!J12</f>
        <v>584.29999999999995</v>
      </c>
      <c r="K21" s="212">
        <f>'Income Statement'!K12</f>
        <v>687.45</v>
      </c>
      <c r="L21" s="212">
        <f>'Income Statement'!L12</f>
        <v>759</v>
      </c>
      <c r="M21" s="212">
        <f>'Income Statement'!M12</f>
        <v>863.55</v>
      </c>
      <c r="N21" s="214">
        <f>'Income Statement'!N12</f>
        <v>936.54000000000008</v>
      </c>
      <c r="O21" s="212">
        <f>'Income Statement'!O12</f>
        <v>989.75250000000005</v>
      </c>
      <c r="P21" s="212">
        <f>'Income Statement'!P12</f>
        <v>1019.1258000000001</v>
      </c>
      <c r="Q21" s="212">
        <f>'Income Statement'!Q12</f>
        <v>1042.7936557500002</v>
      </c>
      <c r="R21" s="212">
        <f>'Income Statement'!R12</f>
        <v>1074.0774654225002</v>
      </c>
    </row>
    <row r="22" spans="2:18" x14ac:dyDescent="0.25">
      <c r="N22" s="4"/>
    </row>
    <row r="23" spans="2:18" x14ac:dyDescent="0.25">
      <c r="B23" s="1" t="s">
        <v>134</v>
      </c>
      <c r="I23" s="211">
        <f>I21/I19</f>
        <v>4.166666666666667</v>
      </c>
      <c r="J23" s="211">
        <f t="shared" ref="J23:M23" si="1">J21/J19</f>
        <v>4.0296551724137926</v>
      </c>
      <c r="K23" s="211">
        <f t="shared" si="1"/>
        <v>4.0438235294117648</v>
      </c>
      <c r="L23" s="211">
        <f t="shared" si="1"/>
        <v>4.102702702702703</v>
      </c>
      <c r="M23" s="211">
        <f t="shared" si="1"/>
        <v>4.3177500000000002</v>
      </c>
      <c r="N23" s="15"/>
      <c r="O23" s="6"/>
      <c r="P23" s="6"/>
      <c r="Q23" s="6"/>
      <c r="R23" s="6"/>
    </row>
    <row r="24" spans="2:18" x14ac:dyDescent="0.25">
      <c r="N24" s="4"/>
    </row>
    <row r="25" spans="2:18" ht="15.75" thickBot="1" x14ac:dyDescent="0.3">
      <c r="B25" s="1" t="s">
        <v>137</v>
      </c>
      <c r="I25" s="204">
        <f>365/I23</f>
        <v>87.6</v>
      </c>
      <c r="J25" s="204">
        <f t="shared" ref="J25:M25" si="2">365/J23</f>
        <v>90.578469964059565</v>
      </c>
      <c r="K25" s="204">
        <f t="shared" si="2"/>
        <v>90.261109898901736</v>
      </c>
      <c r="L25" s="204">
        <f t="shared" si="2"/>
        <v>88.965744400527001</v>
      </c>
      <c r="M25" s="204">
        <f t="shared" si="2"/>
        <v>84.534769266400318</v>
      </c>
      <c r="N25" s="4"/>
    </row>
    <row r="26" spans="2:18" ht="15.75" thickTop="1" x14ac:dyDescent="0.25">
      <c r="B26" s="1" t="s">
        <v>138</v>
      </c>
      <c r="N26" s="24">
        <v>90</v>
      </c>
      <c r="O26" s="26">
        <f>N26</f>
        <v>90</v>
      </c>
      <c r="P26" s="26">
        <f>O26</f>
        <v>90</v>
      </c>
      <c r="Q26" s="26">
        <f>P26</f>
        <v>90</v>
      </c>
      <c r="R26" s="26">
        <f>Q26</f>
        <v>90</v>
      </c>
    </row>
    <row r="27" spans="2:18" x14ac:dyDescent="0.25">
      <c r="N27" s="4"/>
    </row>
    <row r="28" spans="2:18" ht="15.75" thickBot="1" x14ac:dyDescent="0.3">
      <c r="B28" s="11" t="s">
        <v>153</v>
      </c>
      <c r="C28" s="11"/>
      <c r="D28" s="11"/>
      <c r="E28" s="11"/>
      <c r="F28" s="11"/>
      <c r="G28" s="11"/>
      <c r="H28" s="11"/>
      <c r="I28" s="67"/>
      <c r="J28" s="67"/>
      <c r="K28" s="67"/>
      <c r="L28" s="67"/>
      <c r="M28" s="67"/>
      <c r="N28" s="207">
        <f>N21*(N26/365)</f>
        <v>230.92767123287672</v>
      </c>
      <c r="O28" s="208">
        <f t="shared" ref="O28:R28" si="3">O21*(O26/365)</f>
        <v>244.04856164383563</v>
      </c>
      <c r="P28" s="208">
        <f t="shared" si="3"/>
        <v>251.29129315068496</v>
      </c>
      <c r="Q28" s="208">
        <f t="shared" si="3"/>
        <v>257.12720278767125</v>
      </c>
      <c r="R28" s="208">
        <f t="shared" si="3"/>
        <v>264.8410188713014</v>
      </c>
    </row>
    <row r="29" spans="2:18" ht="15.75" thickTop="1" x14ac:dyDescent="0.25"/>
    <row r="31" spans="2:18" x14ac:dyDescent="0.25">
      <c r="B31" s="167"/>
    </row>
    <row r="32" spans="2:18" x14ac:dyDescent="0.25">
      <c r="B32" s="7"/>
      <c r="C32" s="7"/>
      <c r="D32" s="7"/>
      <c r="E32" s="7"/>
      <c r="F32" s="7"/>
      <c r="G32" s="7"/>
      <c r="H32" s="7"/>
      <c r="I32" s="209"/>
      <c r="J32" s="209"/>
      <c r="K32" s="209"/>
      <c r="L32" s="209"/>
      <c r="M32" s="209"/>
      <c r="N32" s="209"/>
      <c r="O32" s="209"/>
      <c r="P32" s="209"/>
      <c r="Q32" s="209"/>
      <c r="R32" s="20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2154-84BF-4D48-A665-47971A5AECB8}">
  <sheetPr>
    <tabColor rgb="FF7030A0"/>
  </sheetPr>
  <dimension ref="A1:R32"/>
  <sheetViews>
    <sheetView workbookViewId="0">
      <selection activeCell="B4" sqref="B4"/>
    </sheetView>
  </sheetViews>
  <sheetFormatPr defaultRowHeight="15" outlineLevelRow="1" x14ac:dyDescent="0.25"/>
  <cols>
    <col min="1" max="1" width="2.85546875" style="1" customWidth="1"/>
    <col min="2" max="2" width="45.5703125" style="1" customWidth="1"/>
    <col min="3" max="8" width="2.28515625" style="1" customWidth="1"/>
    <col min="9" max="18" width="9.140625" style="1" customWidth="1"/>
    <col min="19" max="16384" width="9.140625" style="1"/>
  </cols>
  <sheetData>
    <row r="1" spans="1:18" x14ac:dyDescent="0.25">
      <c r="A1" s="11" t="s">
        <v>139</v>
      </c>
    </row>
    <row r="4" spans="1:18" x14ac:dyDescent="0.25">
      <c r="B4" s="11"/>
    </row>
    <row r="5" spans="1:18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8" x14ac:dyDescent="0.25">
      <c r="I6" s="121" t="str">
        <f>J6</f>
        <v>12/31</v>
      </c>
      <c r="J6" s="121" t="str">
        <f>K6</f>
        <v>12/31</v>
      </c>
      <c r="K6" s="121" t="str">
        <f>L6</f>
        <v>12/31</v>
      </c>
      <c r="L6" s="121" t="str">
        <f>M6</f>
        <v>12/31</v>
      </c>
      <c r="M6" s="121" t="str">
        <f>TEXT(LFY,"mm/d")</f>
        <v>12/31</v>
      </c>
      <c r="N6" s="146" t="str">
        <f>TEXT(NFY,"mm/d")</f>
        <v>12/31</v>
      </c>
      <c r="O6" s="122" t="str">
        <f>TEXT(NFY,"mm/d")</f>
        <v>12/31</v>
      </c>
      <c r="P6" s="122" t="str">
        <f>TEXT(NFY,"mm/d")</f>
        <v>12/31</v>
      </c>
      <c r="Q6" s="122" t="str">
        <f>TEXT(NFY,"mm/d")</f>
        <v>12/31</v>
      </c>
      <c r="R6" s="122" t="str">
        <f>TEXT(NFY,"mm/d")</f>
        <v>12/31</v>
      </c>
    </row>
    <row r="7" spans="1:18" x14ac:dyDescent="0.25">
      <c r="I7" s="87">
        <f>J7-1</f>
        <v>2016</v>
      </c>
      <c r="J7" s="87">
        <f>K7-1</f>
        <v>2017</v>
      </c>
      <c r="K7" s="87">
        <f>L7-1</f>
        <v>2018</v>
      </c>
      <c r="L7" s="87">
        <f>M7-1</f>
        <v>2019</v>
      </c>
      <c r="M7" s="87">
        <f>YEAR(LFY)</f>
        <v>2020</v>
      </c>
      <c r="N7" s="88">
        <f>YEAR(NFY)</f>
        <v>2021</v>
      </c>
      <c r="O7" s="87">
        <f>N7+1</f>
        <v>2022</v>
      </c>
      <c r="P7" s="87">
        <f t="shared" ref="P7:R7" si="0">O7+1</f>
        <v>2023</v>
      </c>
      <c r="Q7" s="87">
        <f t="shared" si="0"/>
        <v>2024</v>
      </c>
      <c r="R7" s="87">
        <f t="shared" si="0"/>
        <v>2025</v>
      </c>
    </row>
    <row r="8" spans="1:18" hidden="1" outlineLevel="1" x14ac:dyDescent="0.25">
      <c r="N8" s="200"/>
    </row>
    <row r="9" spans="1:18" hidden="1" outlineLevel="1" x14ac:dyDescent="0.25">
      <c r="N9" s="4"/>
    </row>
    <row r="10" spans="1:18" hidden="1" outlineLevel="1" x14ac:dyDescent="0.25">
      <c r="N10" s="4"/>
    </row>
    <row r="11" spans="1:18" hidden="1" outlineLevel="1" x14ac:dyDescent="0.25">
      <c r="N11" s="4"/>
    </row>
    <row r="12" spans="1:18" hidden="1" outlineLevel="1" x14ac:dyDescent="0.25">
      <c r="N12" s="4"/>
    </row>
    <row r="13" spans="1:18" hidden="1" outlineLevel="1" x14ac:dyDescent="0.25">
      <c r="N13" s="4"/>
    </row>
    <row r="14" spans="1:18" hidden="1" outlineLevel="1" x14ac:dyDescent="0.25">
      <c r="N14" s="4"/>
    </row>
    <row r="15" spans="1:18" hidden="1" outlineLevel="1" collapsed="1" x14ac:dyDescent="0.25">
      <c r="N15" s="4"/>
    </row>
    <row r="16" spans="1:18" hidden="1" outlineLevel="1" x14ac:dyDescent="0.25">
      <c r="N16" s="4"/>
    </row>
    <row r="17" spans="2:18" hidden="1" outlineLevel="1" x14ac:dyDescent="0.25">
      <c r="N17" s="4"/>
    </row>
    <row r="18" spans="2:18" hidden="1" outlineLevel="1" x14ac:dyDescent="0.25">
      <c r="N18" s="4"/>
    </row>
    <row r="19" spans="2:18" hidden="1" outlineLevel="1" x14ac:dyDescent="0.25">
      <c r="N19" s="4"/>
    </row>
    <row r="20" spans="2:18" collapsed="1" x14ac:dyDescent="0.25">
      <c r="N20" s="4"/>
    </row>
    <row r="21" spans="2:18" x14ac:dyDescent="0.25">
      <c r="B21" s="1" t="s">
        <v>140</v>
      </c>
      <c r="I21" s="159">
        <f>'Working Capital (Driver Based)'!I14</f>
        <v>25</v>
      </c>
      <c r="J21" s="159">
        <f>'Working Capital (Driver Based)'!J14</f>
        <v>26</v>
      </c>
      <c r="K21" s="159">
        <f>'Working Capital (Driver Based)'!K14</f>
        <v>30</v>
      </c>
      <c r="L21" s="159">
        <f>'Working Capital (Driver Based)'!L14</f>
        <v>31</v>
      </c>
      <c r="M21" s="159">
        <f>'Working Capital (Driver Based)'!M14</f>
        <v>33</v>
      </c>
      <c r="N21" s="155"/>
      <c r="O21" s="154"/>
      <c r="P21" s="154"/>
      <c r="Q21" s="154"/>
      <c r="R21" s="154"/>
    </row>
    <row r="22" spans="2:18" x14ac:dyDescent="0.25">
      <c r="I22" s="201"/>
      <c r="J22" s="201"/>
      <c r="K22" s="201"/>
      <c r="L22" s="201"/>
      <c r="M22" s="201"/>
      <c r="N22" s="288"/>
      <c r="O22" s="201"/>
      <c r="P22" s="201"/>
      <c r="Q22" s="201"/>
      <c r="R22" s="201"/>
    </row>
    <row r="23" spans="2:18" x14ac:dyDescent="0.25">
      <c r="B23" s="1" t="s">
        <v>19</v>
      </c>
      <c r="I23" s="212">
        <f>'Income Statement'!I9</f>
        <v>1000</v>
      </c>
      <c r="J23" s="212">
        <f>'Income Statement'!J9</f>
        <v>1200</v>
      </c>
      <c r="K23" s="212">
        <f>'Income Statement'!K9</f>
        <v>1400</v>
      </c>
      <c r="L23" s="212">
        <f>'Income Statement'!L9</f>
        <v>1600</v>
      </c>
      <c r="M23" s="212">
        <f>'Income Statement'!M9</f>
        <v>1800</v>
      </c>
      <c r="N23" s="214">
        <f>'Income Statement'!N9</f>
        <v>1980.0000000000002</v>
      </c>
      <c r="O23" s="212">
        <f>'Income Statement'!O9</f>
        <v>2128.5</v>
      </c>
      <c r="P23" s="212">
        <f>'Income Statement'!P9</f>
        <v>2234.9250000000002</v>
      </c>
      <c r="Q23" s="212">
        <f>'Income Statement'!Q9</f>
        <v>2301.9727500000004</v>
      </c>
      <c r="R23" s="212">
        <f>'Income Statement'!R9</f>
        <v>2371.0319325000005</v>
      </c>
    </row>
    <row r="24" spans="2:18" x14ac:dyDescent="0.25">
      <c r="N24" s="4"/>
    </row>
    <row r="25" spans="2:18" x14ac:dyDescent="0.25">
      <c r="B25" s="1" t="s">
        <v>141</v>
      </c>
      <c r="I25" s="215">
        <f>I21/I23</f>
        <v>2.5000000000000001E-2</v>
      </c>
      <c r="J25" s="215">
        <f t="shared" ref="J25:M25" si="1">J21/J23</f>
        <v>2.1666666666666667E-2</v>
      </c>
      <c r="K25" s="215">
        <f t="shared" si="1"/>
        <v>2.1428571428571429E-2</v>
      </c>
      <c r="L25" s="215">
        <f t="shared" si="1"/>
        <v>1.9375E-2</v>
      </c>
      <c r="M25" s="215">
        <f t="shared" si="1"/>
        <v>1.8333333333333333E-2</v>
      </c>
      <c r="N25" s="216"/>
      <c r="O25" s="217"/>
      <c r="P25" s="217"/>
      <c r="Q25" s="217"/>
      <c r="R25" s="217"/>
    </row>
    <row r="26" spans="2:18" x14ac:dyDescent="0.25">
      <c r="B26" s="1" t="s">
        <v>142</v>
      </c>
      <c r="I26" s="218"/>
      <c r="J26" s="218"/>
      <c r="K26" s="218"/>
      <c r="L26" s="218"/>
      <c r="M26" s="218"/>
      <c r="N26" s="219">
        <v>1.7999999999999999E-2</v>
      </c>
      <c r="O26" s="220">
        <f>N26</f>
        <v>1.7999999999999999E-2</v>
      </c>
      <c r="P26" s="220">
        <f>O26</f>
        <v>1.7999999999999999E-2</v>
      </c>
      <c r="Q26" s="220">
        <f>P26</f>
        <v>1.7999999999999999E-2</v>
      </c>
      <c r="R26" s="220">
        <f>Q26</f>
        <v>1.7999999999999999E-2</v>
      </c>
    </row>
    <row r="27" spans="2:18" x14ac:dyDescent="0.25">
      <c r="N27" s="4"/>
    </row>
    <row r="28" spans="2:18" ht="15.75" thickBot="1" x14ac:dyDescent="0.3">
      <c r="B28" s="11" t="s">
        <v>152</v>
      </c>
      <c r="C28" s="11"/>
      <c r="D28" s="11"/>
      <c r="E28" s="11"/>
      <c r="F28" s="11"/>
      <c r="G28" s="11"/>
      <c r="H28" s="11"/>
      <c r="I28" s="67"/>
      <c r="J28" s="67"/>
      <c r="K28" s="67"/>
      <c r="L28" s="67"/>
      <c r="M28" s="67"/>
      <c r="N28" s="207">
        <f>N23*N26</f>
        <v>35.64</v>
      </c>
      <c r="O28" s="208">
        <f t="shared" ref="O28:R28" si="2">O23*O26</f>
        <v>38.312999999999995</v>
      </c>
      <c r="P28" s="208">
        <f t="shared" si="2"/>
        <v>40.228650000000002</v>
      </c>
      <c r="Q28" s="208">
        <f t="shared" si="2"/>
        <v>41.435509500000002</v>
      </c>
      <c r="R28" s="208">
        <f t="shared" si="2"/>
        <v>42.678574785000002</v>
      </c>
    </row>
    <row r="29" spans="2:18" ht="15.75" thickTop="1" x14ac:dyDescent="0.25"/>
    <row r="31" spans="2:18" x14ac:dyDescent="0.25">
      <c r="B31" s="167"/>
    </row>
    <row r="32" spans="2:18" x14ac:dyDescent="0.25">
      <c r="B32" s="7"/>
      <c r="C32" s="7"/>
      <c r="D32" s="7"/>
      <c r="E32" s="7"/>
      <c r="F32" s="7"/>
      <c r="G32" s="7"/>
      <c r="H32" s="7"/>
      <c r="I32" s="209"/>
      <c r="J32" s="209"/>
      <c r="K32" s="209"/>
      <c r="L32" s="209"/>
      <c r="M32" s="209"/>
      <c r="N32" s="209"/>
      <c r="O32" s="209"/>
      <c r="P32" s="209"/>
      <c r="Q32" s="209"/>
      <c r="R32" s="209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20D2-AAC7-4F31-A4AD-9D85B33F5D04}">
  <sheetPr>
    <tabColor rgb="FF7030A0"/>
  </sheetPr>
  <dimension ref="A1:R32"/>
  <sheetViews>
    <sheetView workbookViewId="0">
      <selection activeCell="U30" sqref="U30"/>
    </sheetView>
  </sheetViews>
  <sheetFormatPr defaultRowHeight="15" outlineLevelRow="1" x14ac:dyDescent="0.25"/>
  <cols>
    <col min="1" max="1" width="2.85546875" style="1" customWidth="1"/>
    <col min="2" max="2" width="45.5703125" style="1" customWidth="1"/>
    <col min="3" max="8" width="2.28515625" style="1" customWidth="1"/>
    <col min="9" max="18" width="9.140625" style="1" customWidth="1"/>
    <col min="19" max="16384" width="9.140625" style="1"/>
  </cols>
  <sheetData>
    <row r="1" spans="1:18" x14ac:dyDescent="0.25">
      <c r="A1" s="11" t="s">
        <v>144</v>
      </c>
    </row>
    <row r="5" spans="1:18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8" x14ac:dyDescent="0.25">
      <c r="I6" s="121" t="str">
        <f>J6</f>
        <v>12/31</v>
      </c>
      <c r="J6" s="121" t="str">
        <f>K6</f>
        <v>12/31</v>
      </c>
      <c r="K6" s="121" t="str">
        <f>L6</f>
        <v>12/31</v>
      </c>
      <c r="L6" s="121" t="str">
        <f>M6</f>
        <v>12/31</v>
      </c>
      <c r="M6" s="121" t="str">
        <f>TEXT(LFY,"mm/d")</f>
        <v>12/31</v>
      </c>
      <c r="N6" s="146" t="str">
        <f>TEXT(NFY,"mm/d")</f>
        <v>12/31</v>
      </c>
      <c r="O6" s="122" t="str">
        <f>TEXT(NFY,"mm/d")</f>
        <v>12/31</v>
      </c>
      <c r="P6" s="122" t="str">
        <f>TEXT(NFY,"mm/d")</f>
        <v>12/31</v>
      </c>
      <c r="Q6" s="122" t="str">
        <f>TEXT(NFY,"mm/d")</f>
        <v>12/31</v>
      </c>
      <c r="R6" s="122" t="str">
        <f>TEXT(NFY,"mm/d")</f>
        <v>12/31</v>
      </c>
    </row>
    <row r="7" spans="1:18" x14ac:dyDescent="0.25">
      <c r="I7" s="87">
        <f>J7-1</f>
        <v>2016</v>
      </c>
      <c r="J7" s="87">
        <f>K7-1</f>
        <v>2017</v>
      </c>
      <c r="K7" s="87">
        <f>L7-1</f>
        <v>2018</v>
      </c>
      <c r="L7" s="87">
        <f>M7-1</f>
        <v>2019</v>
      </c>
      <c r="M7" s="87">
        <f>YEAR(LFY)</f>
        <v>2020</v>
      </c>
      <c r="N7" s="88">
        <f>YEAR(NFY)</f>
        <v>2021</v>
      </c>
      <c r="O7" s="87">
        <f>N7+1</f>
        <v>2022</v>
      </c>
      <c r="P7" s="87">
        <f t="shared" ref="P7:R7" si="0">O7+1</f>
        <v>2023</v>
      </c>
      <c r="Q7" s="87">
        <f t="shared" si="0"/>
        <v>2024</v>
      </c>
      <c r="R7" s="87">
        <f t="shared" si="0"/>
        <v>2025</v>
      </c>
    </row>
    <row r="8" spans="1:18" hidden="1" outlineLevel="1" x14ac:dyDescent="0.25">
      <c r="N8" s="200"/>
    </row>
    <row r="9" spans="1:18" hidden="1" outlineLevel="1" x14ac:dyDescent="0.25">
      <c r="N9" s="4"/>
    </row>
    <row r="10" spans="1:18" hidden="1" outlineLevel="1" x14ac:dyDescent="0.25">
      <c r="N10" s="4"/>
    </row>
    <row r="11" spans="1:18" hidden="1" outlineLevel="1" x14ac:dyDescent="0.25">
      <c r="N11" s="4"/>
    </row>
    <row r="12" spans="1:18" hidden="1" outlineLevel="1" x14ac:dyDescent="0.25">
      <c r="N12" s="4"/>
    </row>
    <row r="13" spans="1:18" hidden="1" outlineLevel="1" x14ac:dyDescent="0.25">
      <c r="N13" s="4"/>
    </row>
    <row r="14" spans="1:18" hidden="1" outlineLevel="1" x14ac:dyDescent="0.25">
      <c r="N14" s="4"/>
    </row>
    <row r="15" spans="1:18" hidden="1" outlineLevel="1" collapsed="1" x14ac:dyDescent="0.25">
      <c r="N15" s="4"/>
    </row>
    <row r="16" spans="1:18" hidden="1" outlineLevel="1" x14ac:dyDescent="0.25">
      <c r="N16" s="4"/>
    </row>
    <row r="17" spans="2:18" hidden="1" outlineLevel="1" x14ac:dyDescent="0.25">
      <c r="N17" s="4"/>
    </row>
    <row r="18" spans="2:18" collapsed="1" x14ac:dyDescent="0.25">
      <c r="N18" s="4"/>
    </row>
    <row r="19" spans="2:18" x14ac:dyDescent="0.25">
      <c r="B19" s="1" t="s">
        <v>143</v>
      </c>
      <c r="I19" s="159">
        <f>'Working Capital (Driver Based)'!I17</f>
        <v>50</v>
      </c>
      <c r="J19" s="159">
        <f>'Working Capital (Driver Based)'!J17</f>
        <v>55</v>
      </c>
      <c r="K19" s="159">
        <f>'Working Capital (Driver Based)'!K17</f>
        <v>60</v>
      </c>
      <c r="L19" s="159">
        <f>'Working Capital (Driver Based)'!L17</f>
        <v>60</v>
      </c>
      <c r="M19" s="159">
        <f>'Working Capital (Driver Based)'!M17</f>
        <v>70</v>
      </c>
      <c r="N19" s="50"/>
      <c r="O19" s="51"/>
      <c r="P19" s="51"/>
      <c r="Q19" s="51"/>
      <c r="R19" s="51"/>
    </row>
    <row r="20" spans="2:18" x14ac:dyDescent="0.25">
      <c r="N20" s="4"/>
    </row>
    <row r="21" spans="2:18" x14ac:dyDescent="0.25">
      <c r="B21" s="1" t="s">
        <v>22</v>
      </c>
      <c r="I21" s="212">
        <f>'Income Statement'!I12</f>
        <v>500</v>
      </c>
      <c r="J21" s="212">
        <f>'Income Statement'!J12</f>
        <v>584.29999999999995</v>
      </c>
      <c r="K21" s="212">
        <f>'Income Statement'!K12</f>
        <v>687.45</v>
      </c>
      <c r="L21" s="212">
        <f>'Income Statement'!L12</f>
        <v>759</v>
      </c>
      <c r="M21" s="212">
        <f>'Income Statement'!M12</f>
        <v>863.55</v>
      </c>
      <c r="N21" s="214">
        <f>'Income Statement'!N12</f>
        <v>936.54000000000008</v>
      </c>
      <c r="O21" s="212">
        <f>'Income Statement'!O12</f>
        <v>989.75250000000005</v>
      </c>
      <c r="P21" s="212">
        <f>'Income Statement'!P12</f>
        <v>1019.1258000000001</v>
      </c>
      <c r="Q21" s="212">
        <f>'Income Statement'!Q12</f>
        <v>1042.7936557500002</v>
      </c>
      <c r="R21" s="212">
        <f>'Income Statement'!R12</f>
        <v>1074.0774654225002</v>
      </c>
    </row>
    <row r="22" spans="2:18" x14ac:dyDescent="0.25">
      <c r="N22" s="4"/>
    </row>
    <row r="23" spans="2:18" x14ac:dyDescent="0.25">
      <c r="B23" s="1" t="s">
        <v>145</v>
      </c>
      <c r="I23" s="211">
        <f>I21/I19</f>
        <v>10</v>
      </c>
      <c r="J23" s="211">
        <f t="shared" ref="J23:M23" si="1">J21/J19</f>
        <v>10.623636363636363</v>
      </c>
      <c r="K23" s="211">
        <f t="shared" si="1"/>
        <v>11.457500000000001</v>
      </c>
      <c r="L23" s="211">
        <f t="shared" si="1"/>
        <v>12.65</v>
      </c>
      <c r="M23" s="211">
        <f t="shared" si="1"/>
        <v>12.33642857142857</v>
      </c>
      <c r="N23" s="15"/>
      <c r="O23" s="6"/>
      <c r="P23" s="6"/>
      <c r="Q23" s="6"/>
      <c r="R23" s="6"/>
    </row>
    <row r="24" spans="2:18" x14ac:dyDescent="0.25">
      <c r="N24" s="4"/>
    </row>
    <row r="25" spans="2:18" ht="15.75" thickBot="1" x14ac:dyDescent="0.3">
      <c r="B25" s="1" t="s">
        <v>146</v>
      </c>
      <c r="I25" s="204">
        <f>365/I23</f>
        <v>36.5</v>
      </c>
      <c r="J25" s="204">
        <f t="shared" ref="J25:M25" si="2">365/J23</f>
        <v>34.357350676022591</v>
      </c>
      <c r="K25" s="204">
        <f t="shared" si="2"/>
        <v>31.856862317259434</v>
      </c>
      <c r="L25" s="204">
        <f t="shared" si="2"/>
        <v>28.853754940711461</v>
      </c>
      <c r="M25" s="204">
        <f t="shared" si="2"/>
        <v>29.587169243240115</v>
      </c>
      <c r="N25" s="4"/>
    </row>
    <row r="26" spans="2:18" ht="15.75" thickTop="1" x14ac:dyDescent="0.25">
      <c r="B26" s="1" t="s">
        <v>147</v>
      </c>
      <c r="N26" s="24">
        <v>30</v>
      </c>
      <c r="O26" s="26">
        <f>N26</f>
        <v>30</v>
      </c>
      <c r="P26" s="26">
        <f>O26</f>
        <v>30</v>
      </c>
      <c r="Q26" s="26">
        <f>P26</f>
        <v>30</v>
      </c>
      <c r="R26" s="26">
        <f>Q26</f>
        <v>30</v>
      </c>
    </row>
    <row r="27" spans="2:18" x14ac:dyDescent="0.25">
      <c r="N27" s="4"/>
    </row>
    <row r="28" spans="2:18" ht="15.75" thickBot="1" x14ac:dyDescent="0.3">
      <c r="B28" s="11" t="s">
        <v>151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07">
        <f>N21*(N26/365)</f>
        <v>76.975890410958911</v>
      </c>
      <c r="O28" s="208">
        <f t="shared" ref="O28:R28" si="3">O21*(O26/365)</f>
        <v>81.349520547945204</v>
      </c>
      <c r="P28" s="208">
        <f t="shared" si="3"/>
        <v>83.76376438356165</v>
      </c>
      <c r="Q28" s="208">
        <f t="shared" si="3"/>
        <v>85.709067595890417</v>
      </c>
      <c r="R28" s="208">
        <f t="shared" si="3"/>
        <v>88.280339623767134</v>
      </c>
    </row>
    <row r="29" spans="2:18" ht="15.75" thickTop="1" x14ac:dyDescent="0.25"/>
    <row r="31" spans="2:18" x14ac:dyDescent="0.25">
      <c r="B31" s="167"/>
    </row>
    <row r="32" spans="2:18" x14ac:dyDescent="0.25">
      <c r="B32" s="7"/>
      <c r="C32" s="7"/>
      <c r="D32" s="7"/>
      <c r="E32" s="7"/>
      <c r="F32" s="7"/>
      <c r="G32" s="7"/>
      <c r="H32" s="7"/>
      <c r="I32" s="209"/>
      <c r="J32" s="209"/>
      <c r="K32" s="209"/>
      <c r="L32" s="209"/>
      <c r="M32" s="209"/>
      <c r="N32" s="209"/>
      <c r="O32" s="209"/>
      <c r="P32" s="209"/>
      <c r="Q32" s="209"/>
      <c r="R32" s="20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A17D-C857-458D-8F04-70228725FCC1}">
  <sheetPr>
    <tabColor rgb="FF7030A0"/>
  </sheetPr>
  <dimension ref="A1:R32"/>
  <sheetViews>
    <sheetView workbookViewId="0">
      <selection activeCell="B4" sqref="B4"/>
    </sheetView>
  </sheetViews>
  <sheetFormatPr defaultRowHeight="15" outlineLevelRow="1" x14ac:dyDescent="0.25"/>
  <cols>
    <col min="1" max="1" width="2.85546875" style="1" customWidth="1"/>
    <col min="2" max="2" width="45.5703125" style="1" customWidth="1"/>
    <col min="3" max="8" width="2.28515625" style="1" customWidth="1"/>
    <col min="9" max="18" width="9.140625" style="1" customWidth="1"/>
    <col min="19" max="16384" width="9.140625" style="1"/>
  </cols>
  <sheetData>
    <row r="1" spans="1:18" x14ac:dyDescent="0.25">
      <c r="A1" s="11" t="s">
        <v>148</v>
      </c>
    </row>
    <row r="4" spans="1:18" x14ac:dyDescent="0.25">
      <c r="B4" s="11"/>
    </row>
    <row r="5" spans="1:18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8" x14ac:dyDescent="0.25">
      <c r="I6" s="121" t="str">
        <f>J6</f>
        <v>12/31</v>
      </c>
      <c r="J6" s="121" t="str">
        <f>K6</f>
        <v>12/31</v>
      </c>
      <c r="K6" s="121" t="str">
        <f>L6</f>
        <v>12/31</v>
      </c>
      <c r="L6" s="121" t="str">
        <f>M6</f>
        <v>12/31</v>
      </c>
      <c r="M6" s="121" t="str">
        <f>TEXT(LFY,"mm/d")</f>
        <v>12/31</v>
      </c>
      <c r="N6" s="146" t="str">
        <f>TEXT(NFY,"mm/d")</f>
        <v>12/31</v>
      </c>
      <c r="O6" s="122" t="str">
        <f>TEXT(NFY,"mm/d")</f>
        <v>12/31</v>
      </c>
      <c r="P6" s="122" t="str">
        <f>TEXT(NFY,"mm/d")</f>
        <v>12/31</v>
      </c>
      <c r="Q6" s="122" t="str">
        <f>TEXT(NFY,"mm/d")</f>
        <v>12/31</v>
      </c>
      <c r="R6" s="122" t="str">
        <f>TEXT(NFY,"mm/d")</f>
        <v>12/31</v>
      </c>
    </row>
    <row r="7" spans="1:18" x14ac:dyDescent="0.25">
      <c r="I7" s="87">
        <f>J7-1</f>
        <v>2016</v>
      </c>
      <c r="J7" s="87">
        <f>K7-1</f>
        <v>2017</v>
      </c>
      <c r="K7" s="87">
        <f>L7-1</f>
        <v>2018</v>
      </c>
      <c r="L7" s="87">
        <f>M7-1</f>
        <v>2019</v>
      </c>
      <c r="M7" s="87">
        <f>YEAR(LFY)</f>
        <v>2020</v>
      </c>
      <c r="N7" s="88">
        <f>YEAR(NFY)</f>
        <v>2021</v>
      </c>
      <c r="O7" s="87">
        <f>N7+1</f>
        <v>2022</v>
      </c>
      <c r="P7" s="87">
        <f t="shared" ref="P7:R7" si="0">O7+1</f>
        <v>2023</v>
      </c>
      <c r="Q7" s="87">
        <f t="shared" si="0"/>
        <v>2024</v>
      </c>
      <c r="R7" s="87">
        <f t="shared" si="0"/>
        <v>2025</v>
      </c>
    </row>
    <row r="8" spans="1:18" hidden="1" outlineLevel="1" x14ac:dyDescent="0.25">
      <c r="N8" s="200"/>
    </row>
    <row r="9" spans="1:18" hidden="1" outlineLevel="1" x14ac:dyDescent="0.25">
      <c r="N9" s="4"/>
    </row>
    <row r="10" spans="1:18" hidden="1" outlineLevel="1" x14ac:dyDescent="0.25">
      <c r="N10" s="4"/>
    </row>
    <row r="11" spans="1:18" hidden="1" outlineLevel="1" x14ac:dyDescent="0.25">
      <c r="N11" s="4"/>
    </row>
    <row r="12" spans="1:18" hidden="1" outlineLevel="1" x14ac:dyDescent="0.25">
      <c r="N12" s="4"/>
    </row>
    <row r="13" spans="1:18" hidden="1" outlineLevel="1" x14ac:dyDescent="0.25">
      <c r="N13" s="4"/>
    </row>
    <row r="14" spans="1:18" hidden="1" outlineLevel="1" x14ac:dyDescent="0.25">
      <c r="N14" s="4"/>
    </row>
    <row r="15" spans="1:18" hidden="1" outlineLevel="1" collapsed="1" x14ac:dyDescent="0.25">
      <c r="N15" s="4"/>
    </row>
    <row r="16" spans="1:18" hidden="1" outlineLevel="1" x14ac:dyDescent="0.25">
      <c r="N16" s="4"/>
    </row>
    <row r="17" spans="2:18" hidden="1" outlineLevel="1" x14ac:dyDescent="0.25">
      <c r="N17" s="4"/>
    </row>
    <row r="18" spans="2:18" hidden="1" outlineLevel="1" x14ac:dyDescent="0.25">
      <c r="N18" s="4"/>
    </row>
    <row r="19" spans="2:18" hidden="1" outlineLevel="1" x14ac:dyDescent="0.25">
      <c r="N19" s="4"/>
    </row>
    <row r="20" spans="2:18" collapsed="1" x14ac:dyDescent="0.25">
      <c r="N20" s="4"/>
    </row>
    <row r="21" spans="2:18" x14ac:dyDescent="0.25">
      <c r="B21" s="1" t="s">
        <v>149</v>
      </c>
      <c r="I21" s="159">
        <v>10</v>
      </c>
      <c r="J21" s="159">
        <f>'Working Capital (Driver Based)'!J18</f>
        <v>12</v>
      </c>
      <c r="K21" s="159">
        <v>12</v>
      </c>
      <c r="L21" s="159">
        <v>17</v>
      </c>
      <c r="M21" s="159">
        <v>17</v>
      </c>
      <c r="N21" s="155"/>
      <c r="O21" s="154"/>
      <c r="P21" s="154"/>
      <c r="Q21" s="154"/>
      <c r="R21" s="154"/>
    </row>
    <row r="22" spans="2:18" x14ac:dyDescent="0.25">
      <c r="I22" s="201"/>
      <c r="J22" s="201"/>
      <c r="K22" s="201"/>
      <c r="L22" s="201"/>
      <c r="M22" s="201"/>
      <c r="N22" s="288"/>
      <c r="O22" s="201"/>
      <c r="P22" s="201"/>
      <c r="Q22" s="201"/>
      <c r="R22" s="201"/>
    </row>
    <row r="23" spans="2:18" x14ac:dyDescent="0.25">
      <c r="B23" s="1" t="s">
        <v>229</v>
      </c>
      <c r="I23" s="212">
        <f>'Income Statement'!I18</f>
        <v>225</v>
      </c>
      <c r="J23" s="212">
        <f>'Income Statement'!J18</f>
        <v>241</v>
      </c>
      <c r="K23" s="212">
        <f>'Income Statement'!K18</f>
        <v>262</v>
      </c>
      <c r="L23" s="212">
        <f>'Income Statement'!L18</f>
        <v>358.05</v>
      </c>
      <c r="M23" s="287">
        <f>'Income Statement'!M18</f>
        <v>374.1</v>
      </c>
      <c r="N23" s="212">
        <f>'Income Statement'!N18</f>
        <v>401.68200000000002</v>
      </c>
      <c r="O23" s="212">
        <f>'Income Statement'!O18</f>
        <v>471.49814000000003</v>
      </c>
      <c r="P23" s="212">
        <f>'Income Statement'!P18</f>
        <v>482.52447780000006</v>
      </c>
      <c r="Q23" s="212">
        <f>'Income Statement'!Q18</f>
        <v>496.42609860600004</v>
      </c>
      <c r="R23" s="212">
        <f>'Income Statement'!R18</f>
        <v>510.73328576562</v>
      </c>
    </row>
    <row r="24" spans="2:18" x14ac:dyDescent="0.25">
      <c r="N24" s="4"/>
    </row>
    <row r="25" spans="2:18" x14ac:dyDescent="0.25">
      <c r="B25" s="1" t="s">
        <v>232</v>
      </c>
      <c r="I25" s="215">
        <f>I21/I23</f>
        <v>4.4444444444444446E-2</v>
      </c>
      <c r="J25" s="215">
        <f t="shared" ref="J25:M25" si="1">J21/J23</f>
        <v>4.9792531120331947E-2</v>
      </c>
      <c r="K25" s="215">
        <f t="shared" si="1"/>
        <v>4.5801526717557252E-2</v>
      </c>
      <c r="L25" s="215">
        <f t="shared" si="1"/>
        <v>4.7479402318111992E-2</v>
      </c>
      <c r="M25" s="215">
        <f t="shared" si="1"/>
        <v>4.5442395081529002E-2</v>
      </c>
      <c r="N25" s="216"/>
      <c r="O25" s="217"/>
      <c r="P25" s="217"/>
      <c r="Q25" s="217"/>
      <c r="R25" s="217"/>
    </row>
    <row r="26" spans="2:18" x14ac:dyDescent="0.25">
      <c r="B26" s="1" t="s">
        <v>233</v>
      </c>
      <c r="I26" s="218"/>
      <c r="J26" s="218"/>
      <c r="K26" s="218"/>
      <c r="L26" s="218"/>
      <c r="M26" s="218"/>
      <c r="N26" s="219">
        <v>4.4999999999999998E-2</v>
      </c>
      <c r="O26" s="220">
        <f>N26</f>
        <v>4.4999999999999998E-2</v>
      </c>
      <c r="P26" s="220">
        <f>O26</f>
        <v>4.4999999999999998E-2</v>
      </c>
      <c r="Q26" s="220">
        <f>P26</f>
        <v>4.4999999999999998E-2</v>
      </c>
      <c r="R26" s="220">
        <f>Q26</f>
        <v>4.4999999999999998E-2</v>
      </c>
    </row>
    <row r="27" spans="2:18" x14ac:dyDescent="0.25">
      <c r="N27" s="4"/>
    </row>
    <row r="28" spans="2:18" ht="15.75" thickBot="1" x14ac:dyDescent="0.3">
      <c r="B28" s="11" t="s">
        <v>150</v>
      </c>
      <c r="C28" s="11"/>
      <c r="D28" s="11"/>
      <c r="E28" s="11"/>
      <c r="F28" s="11"/>
      <c r="G28" s="11"/>
      <c r="H28" s="11"/>
      <c r="I28" s="67"/>
      <c r="J28" s="67"/>
      <c r="K28" s="67"/>
      <c r="L28" s="67"/>
      <c r="M28" s="67"/>
      <c r="N28" s="207">
        <f>N23*N26</f>
        <v>18.075690000000002</v>
      </c>
      <c r="O28" s="208">
        <f t="shared" ref="O28:R28" si="2">O23*O26</f>
        <v>21.2174163</v>
      </c>
      <c r="P28" s="208">
        <f t="shared" si="2"/>
        <v>21.713601501000003</v>
      </c>
      <c r="Q28" s="208">
        <f t="shared" si="2"/>
        <v>22.33917443727</v>
      </c>
      <c r="R28" s="208">
        <f t="shared" si="2"/>
        <v>22.982997859452897</v>
      </c>
    </row>
    <row r="29" spans="2:18" ht="15.75" thickTop="1" x14ac:dyDescent="0.25"/>
    <row r="31" spans="2:18" x14ac:dyDescent="0.25">
      <c r="B31" s="167"/>
    </row>
    <row r="32" spans="2:18" x14ac:dyDescent="0.25">
      <c r="B32" s="7"/>
      <c r="C32" s="7"/>
      <c r="D32" s="7"/>
      <c r="E32" s="7"/>
      <c r="F32" s="7"/>
      <c r="G32" s="7"/>
      <c r="H32" s="7"/>
      <c r="I32" s="209"/>
      <c r="J32" s="209"/>
      <c r="K32" s="209"/>
      <c r="L32" s="209"/>
      <c r="M32" s="209"/>
      <c r="N32" s="209"/>
      <c r="O32" s="209"/>
      <c r="P32" s="209"/>
      <c r="Q32" s="209"/>
      <c r="R32" s="209"/>
    </row>
  </sheetData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057C1-F7FF-4A1E-BBB7-B430E6F3235D}">
  <sheetPr>
    <tabColor theme="4" tint="0.39997558519241921"/>
  </sheetPr>
  <dimension ref="A1:U41"/>
  <sheetViews>
    <sheetView topLeftCell="A5" zoomScaleNormal="100" workbookViewId="0">
      <selection activeCell="V15" sqref="V15"/>
    </sheetView>
  </sheetViews>
  <sheetFormatPr defaultRowHeight="15" x14ac:dyDescent="0.25"/>
  <cols>
    <col min="1" max="1" width="2.7109375" style="1" customWidth="1"/>
    <col min="2" max="2" width="29" style="1" customWidth="1"/>
    <col min="3" max="8" width="2.7109375" style="1" customWidth="1"/>
    <col min="9" max="12" width="9.5703125" style="1" bestFit="1" customWidth="1"/>
    <col min="13" max="13" width="9.140625" style="1" customWidth="1"/>
    <col min="14" max="18" width="9.140625" style="1"/>
    <col min="19" max="20" width="2.85546875" style="1" customWidth="1"/>
    <col min="21" max="16384" width="9.140625" style="1"/>
  </cols>
  <sheetData>
    <row r="1" spans="1:21" x14ac:dyDescent="0.25">
      <c r="A1" s="11" t="s">
        <v>157</v>
      </c>
      <c r="B1" s="11"/>
      <c r="C1" s="11"/>
      <c r="D1" s="11"/>
      <c r="E1" s="11"/>
      <c r="F1" s="11"/>
      <c r="G1" s="11"/>
      <c r="H1" s="11"/>
    </row>
    <row r="4" spans="1:21" x14ac:dyDescent="0.25">
      <c r="B4" s="11"/>
    </row>
    <row r="5" spans="1:21" x14ac:dyDescent="0.25">
      <c r="B5" s="11"/>
    </row>
    <row r="6" spans="1:21" x14ac:dyDescent="0.25">
      <c r="I6" s="120" t="s">
        <v>1</v>
      </c>
      <c r="J6" s="120"/>
      <c r="K6" s="120"/>
      <c r="L6" s="120"/>
      <c r="M6" s="120"/>
      <c r="N6" s="120" t="s">
        <v>2</v>
      </c>
      <c r="O6" s="120"/>
      <c r="P6" s="120"/>
      <c r="Q6" s="120"/>
      <c r="R6" s="120"/>
    </row>
    <row r="7" spans="1:21" x14ac:dyDescent="0.25">
      <c r="I7" s="121" t="str">
        <f>J7</f>
        <v>12/31</v>
      </c>
      <c r="J7" s="121" t="str">
        <f>K7</f>
        <v>12/31</v>
      </c>
      <c r="K7" s="121" t="str">
        <f>L7</f>
        <v>12/31</v>
      </c>
      <c r="L7" s="121" t="str">
        <f>M7</f>
        <v>12/31</v>
      </c>
      <c r="M7" s="121" t="str">
        <f>TEXT(LFY,"mm/d")</f>
        <v>12/31</v>
      </c>
      <c r="N7" s="146" t="str">
        <f t="shared" ref="N7:R7" si="0">TEXT(NFY,"mm/d")</f>
        <v>12/31</v>
      </c>
      <c r="O7" s="122" t="str">
        <f t="shared" si="0"/>
        <v>12/31</v>
      </c>
      <c r="P7" s="122" t="str">
        <f t="shared" si="0"/>
        <v>12/31</v>
      </c>
      <c r="Q7" s="122" t="str">
        <f t="shared" si="0"/>
        <v>12/31</v>
      </c>
      <c r="R7" s="122" t="str">
        <f t="shared" si="0"/>
        <v>12/31</v>
      </c>
      <c r="S7" s="17"/>
      <c r="T7" s="5"/>
    </row>
    <row r="8" spans="1:21" ht="15" customHeight="1" x14ac:dyDescent="0.25">
      <c r="I8" s="87">
        <f>J8-1</f>
        <v>2016</v>
      </c>
      <c r="J8" s="87">
        <f>K8-1</f>
        <v>2017</v>
      </c>
      <c r="K8" s="87">
        <f>L8-1</f>
        <v>2018</v>
      </c>
      <c r="L8" s="87">
        <f>M8-1</f>
        <v>2019</v>
      </c>
      <c r="M8" s="87">
        <f>YEAR(LFY)</f>
        <v>2020</v>
      </c>
      <c r="N8" s="88">
        <f>YEAR(NFY)</f>
        <v>2021</v>
      </c>
      <c r="O8" s="87">
        <f>N8+1</f>
        <v>2022</v>
      </c>
      <c r="P8" s="87">
        <f t="shared" ref="P8:R8" si="1">O8+1</f>
        <v>2023</v>
      </c>
      <c r="Q8" s="87">
        <f t="shared" si="1"/>
        <v>2024</v>
      </c>
      <c r="R8" s="87">
        <f t="shared" si="1"/>
        <v>2025</v>
      </c>
      <c r="S8" s="17"/>
      <c r="T8" s="5"/>
      <c r="U8" s="1" t="s">
        <v>62</v>
      </c>
    </row>
    <row r="9" spans="1:21" x14ac:dyDescent="0.25">
      <c r="I9" s="17"/>
      <c r="J9" s="17"/>
      <c r="K9" s="17"/>
      <c r="L9" s="17"/>
      <c r="M9" s="32"/>
      <c r="N9" s="31"/>
      <c r="O9" s="17"/>
      <c r="P9" s="17"/>
      <c r="Q9" s="17"/>
      <c r="R9" s="17"/>
      <c r="S9" s="17"/>
    </row>
    <row r="10" spans="1:21" x14ac:dyDescent="0.25">
      <c r="B10" s="11" t="s">
        <v>161</v>
      </c>
      <c r="I10" s="17"/>
      <c r="J10" s="17"/>
      <c r="K10" s="17"/>
      <c r="L10" s="17"/>
      <c r="M10" s="32"/>
      <c r="N10" s="31"/>
      <c r="O10" s="17"/>
      <c r="P10" s="17"/>
      <c r="Q10" s="17"/>
      <c r="R10" s="17"/>
      <c r="S10" s="17"/>
    </row>
    <row r="11" spans="1:21" x14ac:dyDescent="0.25">
      <c r="B11" s="16" t="s">
        <v>162</v>
      </c>
      <c r="I11" s="25">
        <v>100</v>
      </c>
      <c r="J11" s="25">
        <v>100</v>
      </c>
      <c r="K11" s="25">
        <v>200</v>
      </c>
      <c r="L11" s="25">
        <v>200</v>
      </c>
      <c r="M11" s="25">
        <v>200</v>
      </c>
      <c r="N11" s="31"/>
      <c r="O11" s="17"/>
      <c r="P11" s="17"/>
      <c r="Q11" s="17"/>
      <c r="R11" s="17"/>
      <c r="S11" s="17"/>
    </row>
    <row r="12" spans="1:21" x14ac:dyDescent="0.25">
      <c r="B12" s="16" t="s">
        <v>163</v>
      </c>
      <c r="I12" s="17"/>
      <c r="J12" s="17"/>
      <c r="K12" s="17"/>
      <c r="L12" s="17"/>
      <c r="M12" s="223">
        <v>5</v>
      </c>
      <c r="N12" s="31"/>
      <c r="O12" s="17"/>
      <c r="P12" s="17"/>
      <c r="Q12" s="17"/>
      <c r="R12" s="17"/>
      <c r="S12" s="17"/>
      <c r="U12" s="1" t="s">
        <v>166</v>
      </c>
    </row>
    <row r="13" spans="1:21" x14ac:dyDescent="0.25">
      <c r="B13" s="16"/>
      <c r="I13" s="17"/>
      <c r="J13" s="17"/>
      <c r="K13" s="17"/>
      <c r="L13" s="17"/>
      <c r="M13" s="223"/>
      <c r="N13" s="31"/>
      <c r="O13" s="17"/>
      <c r="P13" s="17"/>
      <c r="Q13" s="17"/>
      <c r="R13" s="17"/>
      <c r="S13" s="17"/>
    </row>
    <row r="14" spans="1:21" x14ac:dyDescent="0.25">
      <c r="B14" s="16" t="s">
        <v>164</v>
      </c>
      <c r="I14" s="17"/>
      <c r="J14" s="17"/>
      <c r="K14" s="17"/>
      <c r="L14" s="17"/>
      <c r="M14" s="75"/>
      <c r="N14" s="224">
        <f>M11</f>
        <v>200</v>
      </c>
      <c r="O14" s="189">
        <f>N17</f>
        <v>200</v>
      </c>
      <c r="P14" s="189">
        <f t="shared" ref="P14:R14" si="2">O17</f>
        <v>200</v>
      </c>
      <c r="Q14" s="189">
        <f t="shared" si="2"/>
        <v>200</v>
      </c>
      <c r="R14" s="189">
        <f t="shared" si="2"/>
        <v>200</v>
      </c>
      <c r="S14" s="17"/>
    </row>
    <row r="15" spans="1:21" x14ac:dyDescent="0.25">
      <c r="B15" s="16" t="s">
        <v>172</v>
      </c>
      <c r="I15" s="17"/>
      <c r="J15" s="17"/>
      <c r="K15" s="17"/>
      <c r="L15" s="17"/>
      <c r="M15" s="75"/>
      <c r="N15" s="20">
        <v>0</v>
      </c>
      <c r="O15" s="25">
        <v>0</v>
      </c>
      <c r="P15" s="25">
        <v>0</v>
      </c>
      <c r="Q15" s="25">
        <v>0</v>
      </c>
      <c r="R15" s="25">
        <v>0</v>
      </c>
      <c r="S15" s="17"/>
    </row>
    <row r="16" spans="1:21" x14ac:dyDescent="0.25">
      <c r="B16" s="16" t="s">
        <v>173</v>
      </c>
      <c r="I16" s="17"/>
      <c r="J16" s="17"/>
      <c r="K16" s="17"/>
      <c r="L16" s="17"/>
      <c r="M16" s="223"/>
      <c r="N16" s="24">
        <v>0</v>
      </c>
      <c r="O16" s="26">
        <v>0</v>
      </c>
      <c r="P16" s="26">
        <v>0</v>
      </c>
      <c r="Q16" s="26">
        <v>0</v>
      </c>
      <c r="R16" s="26">
        <f>-R14</f>
        <v>-200</v>
      </c>
      <c r="S16" s="17"/>
    </row>
    <row r="17" spans="2:21" ht="15.75" thickBot="1" x14ac:dyDescent="0.3">
      <c r="B17" s="16" t="s">
        <v>165</v>
      </c>
      <c r="I17" s="17"/>
      <c r="J17" s="17"/>
      <c r="K17" s="17"/>
      <c r="L17" s="17"/>
      <c r="M17" s="32"/>
      <c r="N17" s="225">
        <f>SUM(N14:N16)</f>
        <v>200</v>
      </c>
      <c r="O17" s="226">
        <f t="shared" ref="O17:R17" si="3">SUM(O14:O16)</f>
        <v>200</v>
      </c>
      <c r="P17" s="226">
        <f t="shared" si="3"/>
        <v>200</v>
      </c>
      <c r="Q17" s="226">
        <f t="shared" si="3"/>
        <v>200</v>
      </c>
      <c r="R17" s="226">
        <f t="shared" si="3"/>
        <v>0</v>
      </c>
      <c r="S17" s="17"/>
    </row>
    <row r="18" spans="2:21" ht="15.75" thickTop="1" x14ac:dyDescent="0.25">
      <c r="I18" s="17"/>
      <c r="J18" s="17"/>
      <c r="K18" s="17"/>
      <c r="L18" s="17"/>
      <c r="M18" s="32"/>
      <c r="N18" s="31"/>
      <c r="O18" s="17"/>
      <c r="P18" s="17"/>
      <c r="Q18" s="17"/>
      <c r="R18" s="17"/>
      <c r="S18" s="17"/>
    </row>
    <row r="19" spans="2:21" x14ac:dyDescent="0.25">
      <c r="B19" s="11" t="s">
        <v>158</v>
      </c>
      <c r="I19" s="17"/>
      <c r="J19" s="17"/>
      <c r="K19" s="17"/>
      <c r="L19" s="17"/>
      <c r="M19" s="32"/>
      <c r="N19" s="31"/>
      <c r="O19" s="17"/>
      <c r="P19" s="17"/>
      <c r="Q19" s="17"/>
      <c r="R19" s="17"/>
      <c r="S19" s="17"/>
    </row>
    <row r="20" spans="2:21" x14ac:dyDescent="0.25">
      <c r="B20" s="16" t="s">
        <v>42</v>
      </c>
      <c r="I20" s="96">
        <f>'Capital Expenditures'!C23</f>
        <v>45</v>
      </c>
      <c r="J20" s="96">
        <f>'Capital Expenditures'!D23</f>
        <v>50</v>
      </c>
      <c r="K20" s="96">
        <f>'Capital Expenditures'!E23</f>
        <v>20</v>
      </c>
      <c r="L20" s="96">
        <f>'Capital Expenditures'!F23</f>
        <v>60</v>
      </c>
      <c r="M20" s="96">
        <f>'Capital Expenditures'!G23</f>
        <v>100</v>
      </c>
      <c r="N20" s="15">
        <f>'Capital Expenditures'!H27</f>
        <v>89.100000000000009</v>
      </c>
      <c r="O20" s="10">
        <f>'Capital Expenditures'!I27</f>
        <v>93.555000000000007</v>
      </c>
      <c r="P20" s="10">
        <f>'Capital Expenditures'!J27</f>
        <v>98.23275000000001</v>
      </c>
      <c r="Q20" s="10">
        <f>'Capital Expenditures'!K27</f>
        <v>103.14438750000002</v>
      </c>
      <c r="R20" s="10">
        <f>'Capital Expenditures'!L27</f>
        <v>107.27016300000003</v>
      </c>
      <c r="S20" s="17"/>
    </row>
    <row r="21" spans="2:21" x14ac:dyDescent="0.25">
      <c r="B21" s="16"/>
      <c r="I21" s="96"/>
      <c r="J21" s="96"/>
      <c r="K21" s="96"/>
      <c r="L21" s="96"/>
      <c r="M21" s="96"/>
      <c r="N21" s="15"/>
      <c r="O21" s="10"/>
      <c r="P21" s="10"/>
      <c r="Q21" s="10"/>
      <c r="R21" s="10"/>
      <c r="S21" s="17"/>
    </row>
    <row r="22" spans="2:21" x14ac:dyDescent="0.25">
      <c r="B22" s="16" t="s">
        <v>159</v>
      </c>
      <c r="I22" s="96"/>
      <c r="J22" s="96"/>
      <c r="K22" s="96"/>
      <c r="L22" s="96"/>
      <c r="M22" s="96"/>
      <c r="N22" s="234">
        <v>0.5</v>
      </c>
      <c r="O22" s="235">
        <v>0.5</v>
      </c>
      <c r="P22" s="235">
        <v>0.5</v>
      </c>
      <c r="Q22" s="235">
        <v>0.5</v>
      </c>
      <c r="R22" s="235">
        <v>0.5</v>
      </c>
      <c r="S22" s="17"/>
    </row>
    <row r="23" spans="2:21" x14ac:dyDescent="0.25">
      <c r="B23" s="16" t="s">
        <v>174</v>
      </c>
      <c r="I23" s="96"/>
      <c r="J23" s="96"/>
      <c r="K23" s="96"/>
      <c r="L23" s="96"/>
      <c r="M23" s="96"/>
      <c r="N23" s="15">
        <f>N20*N22</f>
        <v>44.550000000000004</v>
      </c>
      <c r="O23" s="10">
        <f t="shared" ref="O23:R23" si="4">O20*O22</f>
        <v>46.777500000000003</v>
      </c>
      <c r="P23" s="10">
        <f t="shared" si="4"/>
        <v>49.116375000000005</v>
      </c>
      <c r="Q23" s="10">
        <f t="shared" si="4"/>
        <v>51.572193750000011</v>
      </c>
      <c r="R23" s="10">
        <f t="shared" si="4"/>
        <v>53.635081500000013</v>
      </c>
      <c r="S23" s="17"/>
    </row>
    <row r="24" spans="2:21" x14ac:dyDescent="0.25">
      <c r="B24" s="16"/>
      <c r="I24" s="96"/>
      <c r="J24" s="96"/>
      <c r="K24" s="96"/>
      <c r="L24" s="96"/>
      <c r="M24" s="96"/>
      <c r="N24" s="15"/>
      <c r="O24" s="10"/>
      <c r="P24" s="10"/>
      <c r="Q24" s="10"/>
      <c r="R24" s="10"/>
      <c r="S24" s="17"/>
    </row>
    <row r="25" spans="2:21" x14ac:dyDescent="0.25">
      <c r="B25" s="16" t="s">
        <v>160</v>
      </c>
      <c r="I25" s="96"/>
      <c r="J25" s="96"/>
      <c r="K25" s="96"/>
      <c r="L25" s="96"/>
      <c r="M25" s="96"/>
      <c r="N25" s="24">
        <v>3</v>
      </c>
      <c r="O25" s="26">
        <v>3</v>
      </c>
      <c r="P25" s="26">
        <v>3</v>
      </c>
      <c r="Q25" s="26">
        <v>3</v>
      </c>
      <c r="R25" s="26">
        <v>3</v>
      </c>
      <c r="S25" s="17"/>
      <c r="U25" s="1" t="s">
        <v>168</v>
      </c>
    </row>
    <row r="26" spans="2:21" x14ac:dyDescent="0.25">
      <c r="B26" s="16" t="s">
        <v>175</v>
      </c>
      <c r="I26" s="96"/>
      <c r="J26" s="96"/>
      <c r="K26" s="96"/>
      <c r="L26" s="96"/>
      <c r="M26" s="96"/>
      <c r="N26" s="15">
        <f>N23/N25</f>
        <v>14.850000000000001</v>
      </c>
      <c r="O26" s="10">
        <f>O23/O25</f>
        <v>15.592500000000001</v>
      </c>
      <c r="P26" s="10">
        <f t="shared" ref="P26:R26" si="5">P23/P25</f>
        <v>16.372125</v>
      </c>
      <c r="Q26" s="10">
        <f t="shared" si="5"/>
        <v>17.190731250000002</v>
      </c>
      <c r="R26" s="10">
        <f t="shared" si="5"/>
        <v>17.878360500000003</v>
      </c>
      <c r="S26" s="17"/>
    </row>
    <row r="27" spans="2:21" x14ac:dyDescent="0.25">
      <c r="B27" s="16"/>
      <c r="I27" s="96"/>
      <c r="J27" s="96"/>
      <c r="K27" s="96"/>
      <c r="L27" s="96"/>
      <c r="M27" s="96"/>
      <c r="N27" s="15"/>
      <c r="O27" s="10"/>
      <c r="P27" s="10"/>
      <c r="Q27" s="10"/>
      <c r="R27" s="10"/>
      <c r="S27" s="17"/>
    </row>
    <row r="28" spans="2:21" x14ac:dyDescent="0.25">
      <c r="B28" s="16" t="s">
        <v>167</v>
      </c>
      <c r="I28" s="96"/>
      <c r="J28" s="96"/>
      <c r="K28" s="96"/>
      <c r="L28" s="96"/>
      <c r="M28" s="96"/>
      <c r="N28" s="15"/>
      <c r="O28" s="10"/>
      <c r="P28" s="10"/>
      <c r="Q28" s="10"/>
      <c r="R28" s="10"/>
      <c r="S28" s="17"/>
    </row>
    <row r="29" spans="2:21" x14ac:dyDescent="0.25">
      <c r="B29" s="231">
        <f>N8</f>
        <v>2021</v>
      </c>
      <c r="I29" s="96"/>
      <c r="J29" s="96"/>
      <c r="K29" s="96"/>
      <c r="L29" s="96"/>
      <c r="M29" s="96"/>
      <c r="N29" s="15">
        <f>N$23-N$26*0.5</f>
        <v>37.125</v>
      </c>
      <c r="O29" s="10">
        <f>N29-N$26</f>
        <v>22.274999999999999</v>
      </c>
      <c r="P29" s="10">
        <f>O29-N$26</f>
        <v>7.4249999999999972</v>
      </c>
      <c r="Q29" s="10">
        <f>P29-N$26*0.5</f>
        <v>0</v>
      </c>
      <c r="R29" s="10">
        <f>IF((Q29-Q$20*Q$22/Q$25)&lt;=0,0,(Q29-Q$20*Q$22/Q$25))</f>
        <v>0</v>
      </c>
      <c r="S29" s="17"/>
      <c r="U29" s="1" t="s">
        <v>176</v>
      </c>
    </row>
    <row r="30" spans="2:21" x14ac:dyDescent="0.25">
      <c r="B30" s="231">
        <f>O8</f>
        <v>2022</v>
      </c>
      <c r="I30" s="96"/>
      <c r="J30" s="96"/>
      <c r="K30" s="96"/>
      <c r="L30" s="96"/>
      <c r="M30" s="96"/>
      <c r="N30" s="15"/>
      <c r="O30" s="10">
        <f>O$23-O$26*0.5</f>
        <v>38.981250000000003</v>
      </c>
      <c r="P30" s="10">
        <f>O30-O$26</f>
        <v>23.388750000000002</v>
      </c>
      <c r="Q30" s="10">
        <f>P30-O$26</f>
        <v>7.7962500000000006</v>
      </c>
      <c r="R30" s="10">
        <f>Q30-O$26*0.5</f>
        <v>0</v>
      </c>
      <c r="S30" s="17"/>
    </row>
    <row r="31" spans="2:21" x14ac:dyDescent="0.25">
      <c r="B31" s="231">
        <f>P8</f>
        <v>2023</v>
      </c>
      <c r="I31" s="17"/>
      <c r="J31" s="17"/>
      <c r="K31" s="17"/>
      <c r="L31" s="17"/>
      <c r="M31" s="32"/>
      <c r="N31" s="31"/>
      <c r="O31" s="17"/>
      <c r="P31" s="10">
        <f>P$23-P$26*0.5</f>
        <v>40.930312500000007</v>
      </c>
      <c r="Q31" s="10">
        <f>P31-P$26</f>
        <v>24.558187500000006</v>
      </c>
      <c r="R31" s="10">
        <f>Q31-P$26</f>
        <v>8.1860625000000056</v>
      </c>
      <c r="S31" s="17"/>
    </row>
    <row r="32" spans="2:21" x14ac:dyDescent="0.25">
      <c r="B32" s="231">
        <f>Q8</f>
        <v>2024</v>
      </c>
      <c r="I32" s="17"/>
      <c r="J32" s="17"/>
      <c r="K32" s="17"/>
      <c r="L32" s="17"/>
      <c r="M32" s="32"/>
      <c r="N32" s="31"/>
      <c r="O32" s="17"/>
      <c r="P32" s="17"/>
      <c r="Q32" s="10">
        <f>Q$23-Q$26*0.5</f>
        <v>42.976828125000011</v>
      </c>
      <c r="R32" s="10">
        <f>Q32-Q$26</f>
        <v>25.786096875000009</v>
      </c>
      <c r="S32" s="17"/>
    </row>
    <row r="33" spans="2:21" x14ac:dyDescent="0.25">
      <c r="B33" s="231">
        <f>R8</f>
        <v>2025</v>
      </c>
      <c r="I33" s="17"/>
      <c r="J33" s="17"/>
      <c r="K33" s="17"/>
      <c r="L33" s="17"/>
      <c r="M33" s="32"/>
      <c r="N33" s="3"/>
      <c r="O33" s="2"/>
      <c r="P33" s="2"/>
      <c r="Q33" s="2"/>
      <c r="R33" s="27">
        <f>R$23-R$26*0.5</f>
        <v>44.695901250000013</v>
      </c>
      <c r="S33" s="17"/>
    </row>
    <row r="34" spans="2:21" x14ac:dyDescent="0.25">
      <c r="B34" s="16" t="s">
        <v>169</v>
      </c>
      <c r="N34" s="233">
        <f>SUM(N29:N33)</f>
        <v>37.125</v>
      </c>
      <c r="O34" s="232">
        <f>SUM(O29:O33)</f>
        <v>61.256250000000001</v>
      </c>
      <c r="P34" s="232">
        <f>SUM(P29:P33)</f>
        <v>71.744062500000013</v>
      </c>
      <c r="Q34" s="232">
        <f>SUM(Q29:Q33)</f>
        <v>75.331265625000015</v>
      </c>
      <c r="R34" s="232">
        <f>SUM(R29:R33)</f>
        <v>78.668060625000038</v>
      </c>
    </row>
    <row r="35" spans="2:21" x14ac:dyDescent="0.25">
      <c r="N35" s="4"/>
      <c r="O35" s="5"/>
      <c r="P35" s="5"/>
      <c r="Q35" s="5"/>
      <c r="R35" s="5"/>
    </row>
    <row r="36" spans="2:21" ht="15.75" thickBot="1" x14ac:dyDescent="0.3">
      <c r="B36" s="11" t="s">
        <v>170</v>
      </c>
      <c r="N36" s="227">
        <f>N17+N34</f>
        <v>237.125</v>
      </c>
      <c r="O36" s="222">
        <f>O17+O34</f>
        <v>261.25625000000002</v>
      </c>
      <c r="P36" s="222">
        <f>P17+P34</f>
        <v>271.74406250000004</v>
      </c>
      <c r="Q36" s="222">
        <f>Q17+Q34</f>
        <v>275.33126562500001</v>
      </c>
      <c r="R36" s="222">
        <f>R17+R34</f>
        <v>78.668060625000038</v>
      </c>
    </row>
    <row r="37" spans="2:21" ht="15.75" thickTop="1" x14ac:dyDescent="0.25">
      <c r="M37" s="5"/>
      <c r="N37" s="5"/>
      <c r="O37" s="5"/>
      <c r="P37" s="5"/>
      <c r="Q37" s="5"/>
      <c r="R37" s="5"/>
    </row>
    <row r="39" spans="2:21" x14ac:dyDescent="0.25">
      <c r="B39" s="11" t="s">
        <v>177</v>
      </c>
    </row>
    <row r="40" spans="2:21" x14ac:dyDescent="0.25">
      <c r="B40" s="93" t="s">
        <v>179</v>
      </c>
      <c r="I40" s="236">
        <f>I11/'Income Statement'!I20</f>
        <v>0.36363636363636365</v>
      </c>
      <c r="J40" s="236">
        <f>J11/'Income Statement'!J20</f>
        <v>0.26688017080330928</v>
      </c>
      <c r="K40" s="236">
        <f>K11/'Income Statement'!K20</f>
        <v>0.44390189768061261</v>
      </c>
      <c r="L40" s="236">
        <f>L11/'Income Statement'!L20</f>
        <v>0.41412154467336165</v>
      </c>
      <c r="M40" s="236">
        <f>M11/'Income Statement'!M20</f>
        <v>0.35565039566106516</v>
      </c>
      <c r="N40" s="236">
        <f>N36/'Income Statement'!N20</f>
        <v>0.36948134713249753</v>
      </c>
      <c r="O40" s="236">
        <f>O36/'Income Statement'!O20</f>
        <v>0.39154215149790483</v>
      </c>
      <c r="P40" s="236">
        <f>P36/'Income Statement'!P20</f>
        <v>0.37058970433987248</v>
      </c>
      <c r="Q40" s="236">
        <f>Q36/'Income Statement'!Q20</f>
        <v>0.36097041532106344</v>
      </c>
      <c r="R40" s="236">
        <f>R36/'Income Statement'!R20</f>
        <v>0.10005843456638415</v>
      </c>
      <c r="U40" s="1" t="s">
        <v>180</v>
      </c>
    </row>
    <row r="41" spans="2:21" x14ac:dyDescent="0.25">
      <c r="B41" s="1" t="s">
        <v>178</v>
      </c>
      <c r="I41" s="236">
        <f>'Income Statement'!I24/'Income Statement'!I26</f>
        <v>27</v>
      </c>
      <c r="J41" s="236">
        <f>'Income Statement'!J24/'Income Statement'!J26</f>
        <v>47.940000000000012</v>
      </c>
      <c r="K41" s="236">
        <f>'Income Statement'!K24/'Income Statement'!K26</f>
        <v>41.406666666666659</v>
      </c>
      <c r="L41" s="236">
        <f>'Income Statement'!L24/'Income Statement'!L26</f>
        <v>34.795000000000002</v>
      </c>
      <c r="M41" s="236">
        <f>'Income Statement'!M24/'Income Statement'!M26</f>
        <v>43.234999999999999</v>
      </c>
      <c r="N41" s="236">
        <f>'Income Statement'!N24/'Income Statement'!N26</f>
        <v>47.82869888475836</v>
      </c>
      <c r="O41" s="236">
        <f>'Income Statement'!O24/'Income Statement'!O26</f>
        <v>42.192145872261442</v>
      </c>
      <c r="P41" s="236">
        <f>'Income Statement'!P24/'Income Statement'!P26</f>
        <v>46.676086119555485</v>
      </c>
      <c r="Q41" s="236">
        <f>'Income Statement'!Q24/'Income Statement'!Q26</f>
        <v>48.918156732604892</v>
      </c>
      <c r="R41" s="236">
        <f>'Income Statement'!R24/'Income Statement'!R26</f>
        <v>78.665243205601172</v>
      </c>
      <c r="U41" s="1" t="s">
        <v>181</v>
      </c>
    </row>
  </sheetData>
  <pageMargins left="0.7" right="0.7" top="0.75" bottom="0.75" header="0.3" footer="0.3"/>
  <pageSetup scale="9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0EC3-C98D-4BB9-BB2E-9AA9CCE17A8E}">
  <sheetPr>
    <tabColor theme="9" tint="0.39997558519241921"/>
  </sheetPr>
  <dimension ref="A1"/>
  <sheetViews>
    <sheetView workbookViewId="0">
      <selection activeCell="E39" sqref="E39"/>
    </sheetView>
  </sheetViews>
  <sheetFormatPr defaultRowHeight="15" x14ac:dyDescent="0.25"/>
  <cols>
    <col min="1" max="16384" width="9.140625" style="126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7A5A1-8B0B-4F8B-9AA7-31781A981543}">
  <sheetPr>
    <tabColor theme="9" tint="0.39997558519241921"/>
  </sheetPr>
  <dimension ref="A1:S29"/>
  <sheetViews>
    <sheetView zoomScaleNormal="100" workbookViewId="0">
      <selection activeCell="B4" sqref="B4"/>
    </sheetView>
  </sheetViews>
  <sheetFormatPr defaultRowHeight="15" outlineLevelRow="1" x14ac:dyDescent="0.25"/>
  <cols>
    <col min="1" max="1" width="2.85546875" style="1" customWidth="1"/>
    <col min="2" max="2" width="24.28515625" style="1" customWidth="1"/>
    <col min="3" max="8" width="2.7109375" style="1" customWidth="1"/>
    <col min="9" max="12" width="9.7109375" style="1" bestFit="1" customWidth="1"/>
    <col min="13" max="13" width="9.140625" style="1" customWidth="1"/>
    <col min="14" max="15" width="9.5703125" style="1" bestFit="1" customWidth="1"/>
    <col min="16" max="18" width="9.7109375" style="1" bestFit="1" customWidth="1"/>
    <col min="19" max="20" width="2.85546875" style="1" customWidth="1"/>
    <col min="21" max="16384" width="9.140625" style="1"/>
  </cols>
  <sheetData>
    <row r="1" spans="1:19" x14ac:dyDescent="0.25">
      <c r="A1" s="11" t="s">
        <v>61</v>
      </c>
      <c r="B1" s="11"/>
      <c r="C1" s="11"/>
      <c r="D1" s="11"/>
      <c r="E1" s="11"/>
      <c r="F1" s="11"/>
      <c r="G1" s="11"/>
      <c r="H1" s="11"/>
    </row>
    <row r="4" spans="1:19" x14ac:dyDescent="0.25">
      <c r="B4" s="11"/>
    </row>
    <row r="5" spans="1:19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9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24" t="str">
        <f>'Income Statement'!M6</f>
        <v>12/31</v>
      </c>
      <c r="N6" s="121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</row>
    <row r="7" spans="1:19" x14ac:dyDescent="0.25">
      <c r="I7" s="78">
        <f>'Income Statement'!I7</f>
        <v>2016</v>
      </c>
      <c r="J7" s="78">
        <f>'Income Statement'!J7</f>
        <v>2017</v>
      </c>
      <c r="K7" s="78">
        <f>'Income Statement'!K7</f>
        <v>2018</v>
      </c>
      <c r="L7" s="78">
        <f>'Income Statement'!L7</f>
        <v>2019</v>
      </c>
      <c r="M7" s="125">
        <f>'Income Statement'!M7</f>
        <v>2020</v>
      </c>
      <c r="N7" s="78">
        <f>'Income Statement'!N7</f>
        <v>2021</v>
      </c>
      <c r="O7" s="78">
        <f>'Income Statement'!O7</f>
        <v>2022</v>
      </c>
      <c r="P7" s="78">
        <f>'Income Statement'!P7</f>
        <v>2023</v>
      </c>
      <c r="Q7" s="78">
        <f>'Income Statement'!Q7</f>
        <v>2024</v>
      </c>
      <c r="R7" s="78">
        <f>'Income Statement'!R7</f>
        <v>2025</v>
      </c>
      <c r="S7" s="17"/>
    </row>
    <row r="8" spans="1:19" hidden="1" outlineLevel="1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  <c r="S8" s="17"/>
    </row>
    <row r="9" spans="1:19" hidden="1" outlineLevel="1" x14ac:dyDescent="0.25">
      <c r="I9" s="17"/>
      <c r="J9" s="17"/>
      <c r="K9" s="17"/>
      <c r="L9" s="17"/>
      <c r="M9" s="32"/>
      <c r="N9" s="31"/>
      <c r="O9" s="17"/>
      <c r="P9" s="17"/>
      <c r="Q9" s="17"/>
      <c r="R9" s="17"/>
      <c r="S9" s="17"/>
    </row>
    <row r="10" spans="1:19" hidden="1" outlineLevel="1" x14ac:dyDescent="0.25">
      <c r="I10" s="17"/>
      <c r="J10" s="17"/>
      <c r="K10" s="17"/>
      <c r="L10" s="17"/>
      <c r="M10" s="32"/>
      <c r="N10" s="31"/>
      <c r="O10" s="17"/>
      <c r="P10" s="17"/>
      <c r="Q10" s="17"/>
      <c r="R10" s="17"/>
      <c r="S10" s="17"/>
    </row>
    <row r="11" spans="1:19" hidden="1" outlineLevel="1" x14ac:dyDescent="0.25">
      <c r="I11" s="17"/>
      <c r="J11" s="17"/>
      <c r="K11" s="17"/>
      <c r="L11" s="17"/>
      <c r="M11" s="32"/>
      <c r="N11" s="31"/>
      <c r="O11" s="17"/>
      <c r="P11" s="17"/>
      <c r="Q11" s="17"/>
      <c r="R11" s="17"/>
      <c r="S11" s="17"/>
    </row>
    <row r="12" spans="1:19" hidden="1" outlineLevel="1" x14ac:dyDescent="0.25">
      <c r="I12" s="17"/>
      <c r="J12" s="17"/>
      <c r="K12" s="17"/>
      <c r="L12" s="17"/>
      <c r="M12" s="32"/>
      <c r="N12" s="31"/>
      <c r="O12" s="17"/>
      <c r="P12" s="17"/>
      <c r="Q12" s="17"/>
      <c r="R12" s="17"/>
      <c r="S12" s="17"/>
    </row>
    <row r="13" spans="1:19" hidden="1" outlineLevel="1" x14ac:dyDescent="0.25">
      <c r="I13" s="17"/>
      <c r="J13" s="17"/>
      <c r="K13" s="17"/>
      <c r="L13" s="17"/>
      <c r="M13" s="32"/>
      <c r="N13" s="31"/>
      <c r="O13" s="17"/>
      <c r="P13" s="17"/>
      <c r="Q13" s="17"/>
      <c r="R13" s="17"/>
      <c r="S13" s="17"/>
    </row>
    <row r="14" spans="1:19" hidden="1" outlineLevel="1" x14ac:dyDescent="0.25">
      <c r="I14" s="17"/>
      <c r="J14" s="17"/>
      <c r="K14" s="17"/>
      <c r="L14" s="17"/>
      <c r="M14" s="32"/>
      <c r="N14" s="31"/>
      <c r="O14" s="17"/>
      <c r="P14" s="17"/>
      <c r="Q14" s="17"/>
      <c r="R14" s="17"/>
      <c r="S14" s="17"/>
    </row>
    <row r="15" spans="1:19" hidden="1" outlineLevel="1" x14ac:dyDescent="0.25">
      <c r="I15" s="17"/>
      <c r="J15" s="17"/>
      <c r="K15" s="17"/>
      <c r="L15" s="17"/>
      <c r="M15" s="32"/>
      <c r="N15" s="31"/>
      <c r="O15" s="17"/>
      <c r="P15" s="17"/>
      <c r="Q15" s="17"/>
      <c r="R15" s="17"/>
      <c r="S15" s="17"/>
    </row>
    <row r="16" spans="1:19" hidden="1" outlineLevel="1" x14ac:dyDescent="0.25">
      <c r="I16" s="17"/>
      <c r="J16" s="17"/>
      <c r="K16" s="17"/>
      <c r="L16" s="17"/>
      <c r="M16" s="32"/>
      <c r="N16" s="31"/>
      <c r="O16" s="17"/>
      <c r="P16" s="17"/>
      <c r="Q16" s="17"/>
      <c r="R16" s="17"/>
      <c r="S16" s="17"/>
    </row>
    <row r="17" spans="2:19" hidden="1" outlineLevel="1" x14ac:dyDescent="0.25">
      <c r="I17" s="17"/>
      <c r="J17" s="17"/>
      <c r="K17" s="17"/>
      <c r="L17" s="17"/>
      <c r="M17" s="32"/>
      <c r="N17" s="31"/>
      <c r="O17" s="17"/>
      <c r="P17" s="17"/>
      <c r="Q17" s="17"/>
      <c r="R17" s="17"/>
      <c r="S17" s="17"/>
    </row>
    <row r="18" spans="2:19" hidden="1" outlineLevel="1" x14ac:dyDescent="0.25">
      <c r="I18" s="17"/>
      <c r="J18" s="17"/>
      <c r="K18" s="17"/>
      <c r="L18" s="17"/>
      <c r="M18" s="32"/>
      <c r="N18" s="31"/>
      <c r="O18" s="17"/>
      <c r="P18" s="17"/>
      <c r="Q18" s="17"/>
      <c r="R18" s="17"/>
      <c r="S18" s="17"/>
    </row>
    <row r="19" spans="2:19" hidden="1" outlineLevel="1" x14ac:dyDescent="0.25">
      <c r="I19" s="17"/>
      <c r="J19" s="17"/>
      <c r="K19" s="17"/>
      <c r="L19" s="17"/>
      <c r="M19" s="32"/>
      <c r="N19" s="31"/>
      <c r="O19" s="17"/>
      <c r="P19" s="17"/>
      <c r="Q19" s="17"/>
      <c r="R19" s="17"/>
      <c r="S19" s="17"/>
    </row>
    <row r="20" spans="2:19" hidden="1" outlineLevel="1" collapsed="1" x14ac:dyDescent="0.25">
      <c r="N20" s="4"/>
      <c r="O20" s="5"/>
      <c r="P20" s="5"/>
      <c r="Q20" s="5"/>
      <c r="R20" s="5"/>
    </row>
    <row r="21" spans="2:19" hidden="1" outlineLevel="1" x14ac:dyDescent="0.25">
      <c r="N21" s="4"/>
      <c r="O21" s="5"/>
      <c r="P21" s="5"/>
      <c r="Q21" s="5"/>
      <c r="R21" s="5"/>
    </row>
    <row r="22" spans="2:19" hidden="1" outlineLevel="1" x14ac:dyDescent="0.25">
      <c r="N22" s="4"/>
      <c r="O22" s="5"/>
      <c r="P22" s="5"/>
      <c r="Q22" s="5"/>
      <c r="R22" s="5"/>
    </row>
    <row r="23" spans="2:19" hidden="1" outlineLevel="1" x14ac:dyDescent="0.25">
      <c r="N23" s="4"/>
      <c r="O23" s="5"/>
      <c r="P23" s="5"/>
      <c r="Q23" s="5"/>
      <c r="R23" s="5"/>
    </row>
    <row r="24" spans="2:19" hidden="1" outlineLevel="1" x14ac:dyDescent="0.25">
      <c r="N24" s="4"/>
      <c r="O24" s="5"/>
      <c r="P24" s="5"/>
      <c r="Q24" s="5"/>
      <c r="R24" s="5"/>
    </row>
    <row r="25" spans="2:19" hidden="1" outlineLevel="1" x14ac:dyDescent="0.25">
      <c r="N25" s="4"/>
      <c r="O25" s="5"/>
      <c r="P25" s="5"/>
      <c r="Q25" s="5"/>
      <c r="R25" s="5"/>
    </row>
    <row r="26" spans="2:19" hidden="1" outlineLevel="1" x14ac:dyDescent="0.25">
      <c r="N26" s="4"/>
      <c r="O26" s="5"/>
      <c r="P26" s="5"/>
      <c r="Q26" s="5"/>
      <c r="R26" s="5"/>
    </row>
    <row r="27" spans="2:19" collapsed="1" x14ac:dyDescent="0.25">
      <c r="N27" s="4"/>
      <c r="O27" s="5"/>
      <c r="P27" s="5"/>
      <c r="Q27" s="5"/>
      <c r="R27" s="5"/>
    </row>
    <row r="28" spans="2:19" s="11" customFormat="1" x14ac:dyDescent="0.25">
      <c r="B28" s="11" t="s">
        <v>19</v>
      </c>
      <c r="I28" s="131">
        <v>1000</v>
      </c>
      <c r="J28" s="131">
        <v>1200</v>
      </c>
      <c r="K28" s="131">
        <v>1400</v>
      </c>
      <c r="L28" s="131">
        <v>1600</v>
      </c>
      <c r="M28" s="131">
        <v>1800</v>
      </c>
      <c r="N28" s="52">
        <f>M28*(1+N29)</f>
        <v>1980.0000000000002</v>
      </c>
      <c r="O28" s="53">
        <f>N28*(1+O29)</f>
        <v>2128.5</v>
      </c>
      <c r="P28" s="53">
        <f>O28*(1+P29)</f>
        <v>2234.9250000000002</v>
      </c>
      <c r="Q28" s="53">
        <f>P28*(1+Q29)</f>
        <v>2301.9727500000004</v>
      </c>
      <c r="R28" s="53">
        <f>Q28*(1+R29)</f>
        <v>2371.0319325000005</v>
      </c>
    </row>
    <row r="29" spans="2:19" s="7" customFormat="1" x14ac:dyDescent="0.25">
      <c r="B29" s="7" t="s">
        <v>4</v>
      </c>
      <c r="I29" s="8" t="s">
        <v>3</v>
      </c>
      <c r="J29" s="9">
        <f>J28/I28-1</f>
        <v>0.19999999999999996</v>
      </c>
      <c r="K29" s="9">
        <f>K28/J28-1</f>
        <v>0.16666666666666674</v>
      </c>
      <c r="L29" s="9">
        <f>L28/K28-1</f>
        <v>0.14285714285714279</v>
      </c>
      <c r="M29" s="9">
        <f>M28/L28-1</f>
        <v>0.125</v>
      </c>
      <c r="N29" s="85">
        <v>0.1</v>
      </c>
      <c r="O29" s="127">
        <v>7.4999999999999997E-2</v>
      </c>
      <c r="P29" s="127">
        <v>0.05</v>
      </c>
      <c r="Q29" s="127">
        <v>0.03</v>
      </c>
      <c r="R29" s="127">
        <v>0.03</v>
      </c>
    </row>
  </sheetData>
  <pageMargins left="0.7" right="0.7" top="0.75" bottom="0.75" header="0.3" footer="0.3"/>
  <pageSetup scale="94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327C-7182-45C0-BF29-BEDE93B7BCAF}">
  <sheetPr>
    <tabColor theme="9" tint="0.39997558519241921"/>
  </sheetPr>
  <dimension ref="A1:S29"/>
  <sheetViews>
    <sheetView zoomScaleNormal="100" workbookViewId="0">
      <selection activeCell="B4" sqref="B4"/>
    </sheetView>
  </sheetViews>
  <sheetFormatPr defaultRowHeight="15" x14ac:dyDescent="0.25"/>
  <cols>
    <col min="1" max="1" width="2.85546875" style="1" customWidth="1"/>
    <col min="2" max="2" width="24.28515625" style="1" customWidth="1"/>
    <col min="3" max="8" width="2.7109375" style="1" customWidth="1"/>
    <col min="9" max="12" width="9.7109375" style="1" bestFit="1" customWidth="1"/>
    <col min="13" max="13" width="9.140625" style="1" customWidth="1"/>
    <col min="14" max="18" width="9.5703125" style="1" bestFit="1" customWidth="1"/>
    <col min="19" max="20" width="2.85546875" style="1" customWidth="1"/>
    <col min="21" max="16384" width="9.140625" style="1"/>
  </cols>
  <sheetData>
    <row r="1" spans="1:19" x14ac:dyDescent="0.25">
      <c r="A1" s="11" t="s">
        <v>65</v>
      </c>
      <c r="B1" s="11"/>
      <c r="C1" s="11"/>
      <c r="D1" s="11"/>
      <c r="E1" s="11"/>
      <c r="F1" s="11"/>
      <c r="G1" s="11"/>
      <c r="H1" s="11"/>
    </row>
    <row r="4" spans="1:19" x14ac:dyDescent="0.25">
      <c r="B4" s="11"/>
    </row>
    <row r="5" spans="1:19" x14ac:dyDescent="0.25">
      <c r="B5" s="11"/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9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24" t="str">
        <f>'Income Statement'!M6</f>
        <v>12/31</v>
      </c>
      <c r="N6" s="121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</row>
    <row r="7" spans="1:19" x14ac:dyDescent="0.25">
      <c r="I7" s="78">
        <f>'Income Statement'!I7</f>
        <v>2016</v>
      </c>
      <c r="J7" s="78">
        <f>'Income Statement'!J7</f>
        <v>2017</v>
      </c>
      <c r="K7" s="78">
        <f>'Income Statement'!K7</f>
        <v>2018</v>
      </c>
      <c r="L7" s="78">
        <f>'Income Statement'!L7</f>
        <v>2019</v>
      </c>
      <c r="M7" s="125">
        <f>'Income Statement'!M7</f>
        <v>2020</v>
      </c>
      <c r="N7" s="78">
        <f>'Income Statement'!N7</f>
        <v>2021</v>
      </c>
      <c r="O7" s="78">
        <f>'Income Statement'!O7</f>
        <v>2022</v>
      </c>
      <c r="P7" s="78">
        <f>'Income Statement'!P7</f>
        <v>2023</v>
      </c>
      <c r="Q7" s="78">
        <f>'Income Statement'!Q7</f>
        <v>2024</v>
      </c>
      <c r="R7" s="78">
        <f>'Income Statement'!R7</f>
        <v>2025</v>
      </c>
      <c r="S7" s="17"/>
    </row>
    <row r="8" spans="1:19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  <c r="S8" s="17"/>
    </row>
    <row r="9" spans="1:19" s="93" customFormat="1" x14ac:dyDescent="0.25">
      <c r="B9" s="94" t="s">
        <v>23</v>
      </c>
      <c r="C9" s="95"/>
      <c r="D9" s="95"/>
      <c r="E9" s="95"/>
      <c r="F9" s="95"/>
      <c r="G9" s="95"/>
      <c r="H9" s="95"/>
      <c r="I9" s="132">
        <v>80</v>
      </c>
      <c r="J9" s="132">
        <v>90</v>
      </c>
      <c r="K9" s="132">
        <v>110</v>
      </c>
      <c r="L9" s="132">
        <v>130</v>
      </c>
      <c r="M9" s="132">
        <v>163</v>
      </c>
      <c r="N9" s="62">
        <f>M9*(1+N10)</f>
        <v>179.3</v>
      </c>
      <c r="O9" s="42">
        <f>N9*(1+O10)</f>
        <v>188.26500000000001</v>
      </c>
      <c r="P9" s="42">
        <f t="shared" ref="P9" si="0">O9*(1+P10)</f>
        <v>193.91295000000002</v>
      </c>
      <c r="Q9" s="42">
        <f t="shared" ref="Q9" si="1">P9*(1+Q10)</f>
        <v>199.73033850000002</v>
      </c>
      <c r="R9" s="43">
        <f t="shared" ref="R9" si="2">Q9*(1+R10)</f>
        <v>205.72224865500002</v>
      </c>
      <c r="S9" s="96"/>
    </row>
    <row r="10" spans="1:19" s="7" customFormat="1" x14ac:dyDescent="0.25">
      <c r="B10" s="44" t="s">
        <v>24</v>
      </c>
      <c r="C10" s="41"/>
      <c r="D10" s="41"/>
      <c r="E10" s="41"/>
      <c r="F10" s="41"/>
      <c r="G10" s="41"/>
      <c r="H10" s="41"/>
      <c r="I10" s="97" t="s">
        <v>3</v>
      </c>
      <c r="J10" s="39">
        <f>J9/I9-1</f>
        <v>0.125</v>
      </c>
      <c r="K10" s="39">
        <f>K9/J9-1</f>
        <v>0.22222222222222232</v>
      </c>
      <c r="L10" s="39">
        <f>L9/K9-1</f>
        <v>0.18181818181818188</v>
      </c>
      <c r="M10" s="39">
        <f>M9/L9-1</f>
        <v>0.25384615384615383</v>
      </c>
      <c r="N10" s="85">
        <v>0.1</v>
      </c>
      <c r="O10" s="127">
        <v>0.05</v>
      </c>
      <c r="P10" s="127">
        <v>0.03</v>
      </c>
      <c r="Q10" s="127">
        <v>0.03</v>
      </c>
      <c r="R10" s="128">
        <v>0.03</v>
      </c>
      <c r="S10" s="41"/>
    </row>
    <row r="11" spans="1:19" s="93" customFormat="1" collapsed="1" x14ac:dyDescent="0.25">
      <c r="B11" s="98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9"/>
      <c r="N11" s="100"/>
      <c r="O11" s="96"/>
      <c r="P11" s="96"/>
      <c r="Q11" s="96"/>
      <c r="R11" s="101"/>
      <c r="S11" s="96"/>
    </row>
    <row r="12" spans="1:19" s="93" customFormat="1" x14ac:dyDescent="0.25">
      <c r="B12" s="98" t="s">
        <v>210</v>
      </c>
      <c r="C12" s="96"/>
      <c r="D12" s="96"/>
      <c r="E12" s="96"/>
      <c r="F12" s="96"/>
      <c r="G12" s="96"/>
      <c r="H12" s="96"/>
      <c r="I12" s="133">
        <v>5</v>
      </c>
      <c r="J12" s="133">
        <v>5.25</v>
      </c>
      <c r="K12" s="133">
        <v>5.25</v>
      </c>
      <c r="L12" s="133">
        <v>5.25</v>
      </c>
      <c r="M12" s="134">
        <v>5.25</v>
      </c>
      <c r="N12" s="129">
        <v>5.25</v>
      </c>
      <c r="O12" s="129">
        <v>5.25</v>
      </c>
      <c r="P12" s="129">
        <v>5.5</v>
      </c>
      <c r="Q12" s="129">
        <v>5.5</v>
      </c>
      <c r="R12" s="130">
        <v>5.5</v>
      </c>
      <c r="S12" s="96"/>
    </row>
    <row r="13" spans="1:19" s="7" customFormat="1" x14ac:dyDescent="0.25">
      <c r="B13" s="44" t="s">
        <v>5</v>
      </c>
      <c r="C13" s="41"/>
      <c r="D13" s="41"/>
      <c r="E13" s="41"/>
      <c r="F13" s="41"/>
      <c r="G13" s="41"/>
      <c r="H13" s="41"/>
      <c r="I13" s="14" t="s">
        <v>3</v>
      </c>
      <c r="J13" s="33">
        <f t="shared" ref="J13:R13" si="3">J12/I12-1</f>
        <v>5.0000000000000044E-2</v>
      </c>
      <c r="K13" s="33">
        <f t="shared" si="3"/>
        <v>0</v>
      </c>
      <c r="L13" s="33">
        <f t="shared" si="3"/>
        <v>0</v>
      </c>
      <c r="M13" s="102">
        <f t="shared" si="3"/>
        <v>0</v>
      </c>
      <c r="N13" s="76">
        <f t="shared" si="3"/>
        <v>0</v>
      </c>
      <c r="O13" s="77">
        <f t="shared" si="3"/>
        <v>0</v>
      </c>
      <c r="P13" s="77">
        <f t="shared" si="3"/>
        <v>4.7619047619047672E-2</v>
      </c>
      <c r="Q13" s="77">
        <f t="shared" si="3"/>
        <v>0</v>
      </c>
      <c r="R13" s="103">
        <f t="shared" si="3"/>
        <v>0</v>
      </c>
      <c r="S13" s="41"/>
    </row>
    <row r="14" spans="1:19" s="7" customFormat="1" collapsed="1" x14ac:dyDescent="0.25">
      <c r="B14" s="44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104"/>
      <c r="N14" s="105"/>
      <c r="O14" s="106"/>
      <c r="P14" s="106"/>
      <c r="Q14" s="106"/>
      <c r="R14" s="107"/>
      <c r="S14" s="41"/>
    </row>
    <row r="15" spans="1:19" s="93" customFormat="1" x14ac:dyDescent="0.25">
      <c r="B15" s="108" t="s">
        <v>26</v>
      </c>
      <c r="C15" s="17"/>
      <c r="D15" s="17"/>
      <c r="E15" s="17"/>
      <c r="F15" s="17"/>
      <c r="G15" s="17"/>
      <c r="H15" s="17"/>
      <c r="I15" s="67">
        <f>I9*I12</f>
        <v>400</v>
      </c>
      <c r="J15" s="67">
        <f t="shared" ref="J15:R15" si="4">J9*J12</f>
        <v>472.5</v>
      </c>
      <c r="K15" s="67">
        <f t="shared" si="4"/>
        <v>577.5</v>
      </c>
      <c r="L15" s="67">
        <f t="shared" si="4"/>
        <v>682.5</v>
      </c>
      <c r="M15" s="67">
        <f t="shared" si="4"/>
        <v>855.75</v>
      </c>
      <c r="N15" s="109">
        <f t="shared" si="4"/>
        <v>941.32500000000005</v>
      </c>
      <c r="O15" s="110">
        <f t="shared" si="4"/>
        <v>988.39125000000013</v>
      </c>
      <c r="P15" s="110">
        <f t="shared" si="4"/>
        <v>1066.5212250000002</v>
      </c>
      <c r="Q15" s="110">
        <f t="shared" si="4"/>
        <v>1098.5168617500001</v>
      </c>
      <c r="R15" s="111">
        <f t="shared" si="4"/>
        <v>1131.4723676025001</v>
      </c>
      <c r="S15" s="96"/>
    </row>
    <row r="16" spans="1:19" s="7" customFormat="1" x14ac:dyDescent="0.25">
      <c r="B16" s="112" t="s">
        <v>24</v>
      </c>
      <c r="C16" s="113"/>
      <c r="D16" s="113"/>
      <c r="E16" s="113"/>
      <c r="F16" s="113"/>
      <c r="G16" s="113"/>
      <c r="H16" s="113"/>
      <c r="I16" s="114" t="s">
        <v>3</v>
      </c>
      <c r="J16" s="115">
        <f>J15/I15-1</f>
        <v>0.18124999999999991</v>
      </c>
      <c r="K16" s="115">
        <f>K15/J15-1</f>
        <v>0.22222222222222232</v>
      </c>
      <c r="L16" s="115">
        <f>L15/K15-1</f>
        <v>0.18181818181818188</v>
      </c>
      <c r="M16" s="115">
        <f>M15/L15-1</f>
        <v>0.25384615384615383</v>
      </c>
      <c r="N16" s="116">
        <f t="shared" ref="N16" si="5">N15/M15-1</f>
        <v>0.10000000000000009</v>
      </c>
      <c r="O16" s="117">
        <f t="shared" ref="O16" si="6">O15/N15-1</f>
        <v>5.0000000000000044E-2</v>
      </c>
      <c r="P16" s="117">
        <f t="shared" ref="P16" si="7">P15/O15-1</f>
        <v>7.9047619047619033E-2</v>
      </c>
      <c r="Q16" s="117">
        <f t="shared" ref="Q16" si="8">Q15/P15-1</f>
        <v>2.9999999999999805E-2</v>
      </c>
      <c r="R16" s="118">
        <f t="shared" ref="R16" si="9">R15/Q15-1</f>
        <v>3.0000000000000027E-2</v>
      </c>
    </row>
    <row r="17" spans="2:18" x14ac:dyDescent="0.25">
      <c r="N17" s="72"/>
      <c r="O17" s="119"/>
      <c r="P17" s="119"/>
      <c r="Q17" s="119"/>
      <c r="R17" s="119"/>
    </row>
    <row r="18" spans="2:18" x14ac:dyDescent="0.25">
      <c r="N18" s="72"/>
      <c r="O18" s="119"/>
      <c r="P18" s="119"/>
      <c r="Q18" s="119"/>
      <c r="R18" s="119"/>
    </row>
    <row r="19" spans="2:18" x14ac:dyDescent="0.25">
      <c r="B19" s="94" t="s">
        <v>25</v>
      </c>
      <c r="C19" s="95"/>
      <c r="D19" s="95"/>
      <c r="E19" s="95"/>
      <c r="F19" s="95"/>
      <c r="G19" s="95"/>
      <c r="H19" s="95"/>
      <c r="I19" s="132">
        <v>300</v>
      </c>
      <c r="J19" s="132">
        <v>364</v>
      </c>
      <c r="K19" s="132">
        <v>411</v>
      </c>
      <c r="L19" s="132">
        <v>408</v>
      </c>
      <c r="M19" s="132">
        <v>420</v>
      </c>
      <c r="N19" s="62">
        <f>M19*(1+N20)</f>
        <v>462.00000000000006</v>
      </c>
      <c r="O19" s="42">
        <f>N19*(1+O20)</f>
        <v>485.10000000000008</v>
      </c>
      <c r="P19" s="42">
        <f t="shared" ref="P19:R19" si="10">O19*(1+P20)</f>
        <v>497.22750000000002</v>
      </c>
      <c r="Q19" s="42">
        <f t="shared" si="10"/>
        <v>512.14432499999998</v>
      </c>
      <c r="R19" s="43">
        <f t="shared" si="10"/>
        <v>527.50865475000001</v>
      </c>
    </row>
    <row r="20" spans="2:18" s="7" customFormat="1" x14ac:dyDescent="0.25">
      <c r="B20" s="44" t="s">
        <v>24</v>
      </c>
      <c r="C20" s="41"/>
      <c r="D20" s="41"/>
      <c r="E20" s="41"/>
      <c r="F20" s="41"/>
      <c r="G20" s="41"/>
      <c r="H20" s="41"/>
      <c r="I20" s="97" t="s">
        <v>3</v>
      </c>
      <c r="J20" s="39">
        <f>J19/I19-1</f>
        <v>0.21333333333333337</v>
      </c>
      <c r="K20" s="39">
        <f>K19/J19-1</f>
        <v>0.12912087912087911</v>
      </c>
      <c r="L20" s="39">
        <f>L19/K19-1</f>
        <v>-7.2992700729926918E-3</v>
      </c>
      <c r="M20" s="39">
        <f>M19/L19-1</f>
        <v>2.9411764705882248E-2</v>
      </c>
      <c r="N20" s="85">
        <v>0.1</v>
      </c>
      <c r="O20" s="127">
        <v>0.05</v>
      </c>
      <c r="P20" s="127">
        <v>2.5000000000000001E-2</v>
      </c>
      <c r="Q20" s="127">
        <v>0.03</v>
      </c>
      <c r="R20" s="128">
        <v>0.03</v>
      </c>
    </row>
    <row r="21" spans="2:18" x14ac:dyDescent="0.25">
      <c r="B21" s="98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9"/>
      <c r="N21" s="100"/>
      <c r="O21" s="96"/>
      <c r="P21" s="96"/>
      <c r="Q21" s="96"/>
      <c r="R21" s="101"/>
    </row>
    <row r="22" spans="2:18" x14ac:dyDescent="0.25">
      <c r="B22" s="98" t="s">
        <v>211</v>
      </c>
      <c r="C22" s="96"/>
      <c r="D22" s="96"/>
      <c r="E22" s="96"/>
      <c r="F22" s="96"/>
      <c r="G22" s="96"/>
      <c r="H22" s="96"/>
      <c r="I22" s="133">
        <v>2</v>
      </c>
      <c r="J22" s="133">
        <v>2</v>
      </c>
      <c r="K22" s="133">
        <v>2</v>
      </c>
      <c r="L22" s="133">
        <v>2.25</v>
      </c>
      <c r="M22" s="134">
        <v>2.25</v>
      </c>
      <c r="N22" s="129">
        <v>2.25</v>
      </c>
      <c r="O22" s="129">
        <v>2.35</v>
      </c>
      <c r="P22" s="129">
        <v>2.35</v>
      </c>
      <c r="Q22" s="129">
        <v>2.35</v>
      </c>
      <c r="R22" s="130">
        <v>2.35</v>
      </c>
    </row>
    <row r="23" spans="2:18" s="7" customFormat="1" x14ac:dyDescent="0.25">
      <c r="B23" s="44" t="s">
        <v>5</v>
      </c>
      <c r="C23" s="41"/>
      <c r="D23" s="41"/>
      <c r="E23" s="41"/>
      <c r="F23" s="41"/>
      <c r="G23" s="41"/>
      <c r="H23" s="41"/>
      <c r="I23" s="14" t="s">
        <v>3</v>
      </c>
      <c r="J23" s="33">
        <f>J22/I22-1</f>
        <v>0</v>
      </c>
      <c r="K23" s="33">
        <f>K22/J22-1</f>
        <v>0</v>
      </c>
      <c r="L23" s="33">
        <f>L22/K22-1</f>
        <v>0.125</v>
      </c>
      <c r="M23" s="102">
        <f>M22/L22-1</f>
        <v>0</v>
      </c>
      <c r="N23" s="76">
        <v>0</v>
      </c>
      <c r="O23" s="77">
        <v>2.4E-2</v>
      </c>
      <c r="P23" s="77">
        <v>1.9400000000000001E-2</v>
      </c>
      <c r="Q23" s="77">
        <v>0</v>
      </c>
      <c r="R23" s="103">
        <v>0</v>
      </c>
    </row>
    <row r="24" spans="2:18" x14ac:dyDescent="0.25">
      <c r="B24" s="44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104"/>
      <c r="N24" s="105"/>
      <c r="O24" s="106"/>
      <c r="P24" s="106"/>
      <c r="Q24" s="106"/>
      <c r="R24" s="107"/>
    </row>
    <row r="25" spans="2:18" x14ac:dyDescent="0.25">
      <c r="B25" s="108" t="s">
        <v>27</v>
      </c>
      <c r="C25" s="17"/>
      <c r="D25" s="17"/>
      <c r="E25" s="17"/>
      <c r="F25" s="17"/>
      <c r="G25" s="17"/>
      <c r="H25" s="17"/>
      <c r="I25" s="67">
        <f>I19*I22</f>
        <v>600</v>
      </c>
      <c r="J25" s="67">
        <f t="shared" ref="J25:R25" si="11">J19*J22</f>
        <v>728</v>
      </c>
      <c r="K25" s="67">
        <f t="shared" si="11"/>
        <v>822</v>
      </c>
      <c r="L25" s="67">
        <f t="shared" si="11"/>
        <v>918</v>
      </c>
      <c r="M25" s="67">
        <f t="shared" si="11"/>
        <v>945</v>
      </c>
      <c r="N25" s="109">
        <f t="shared" si="11"/>
        <v>1039.5000000000002</v>
      </c>
      <c r="O25" s="110">
        <f t="shared" si="11"/>
        <v>1139.9850000000001</v>
      </c>
      <c r="P25" s="110">
        <f t="shared" si="11"/>
        <v>1168.4846250000001</v>
      </c>
      <c r="Q25" s="110">
        <f t="shared" si="11"/>
        <v>1203.5391637499999</v>
      </c>
      <c r="R25" s="111">
        <f t="shared" si="11"/>
        <v>1239.6453386625001</v>
      </c>
    </row>
    <row r="26" spans="2:18" s="7" customFormat="1" x14ac:dyDescent="0.25">
      <c r="B26" s="112" t="s">
        <v>24</v>
      </c>
      <c r="C26" s="113"/>
      <c r="D26" s="113"/>
      <c r="E26" s="113"/>
      <c r="F26" s="113"/>
      <c r="G26" s="113"/>
      <c r="H26" s="113"/>
      <c r="I26" s="114" t="s">
        <v>3</v>
      </c>
      <c r="J26" s="115">
        <f>J25/I25-1</f>
        <v>0.21333333333333337</v>
      </c>
      <c r="K26" s="115">
        <f>K25/J25-1</f>
        <v>0.12912087912087911</v>
      </c>
      <c r="L26" s="115">
        <f>L25/K25-1</f>
        <v>0.11678832116788329</v>
      </c>
      <c r="M26" s="115">
        <f>M25/L25-1</f>
        <v>2.9411764705882248E-2</v>
      </c>
      <c r="N26" s="116">
        <f t="shared" ref="N26:R26" si="12">N25/M25-1</f>
        <v>0.10000000000000031</v>
      </c>
      <c r="O26" s="117">
        <f t="shared" si="12"/>
        <v>9.6666666666666456E-2</v>
      </c>
      <c r="P26" s="117">
        <f t="shared" si="12"/>
        <v>2.4999999999999911E-2</v>
      </c>
      <c r="Q26" s="117">
        <f t="shared" si="12"/>
        <v>2.9999999999999805E-2</v>
      </c>
      <c r="R26" s="118">
        <f t="shared" si="12"/>
        <v>3.0000000000000027E-2</v>
      </c>
    </row>
    <row r="27" spans="2:18" x14ac:dyDescent="0.25">
      <c r="N27" s="4"/>
    </row>
    <row r="28" spans="2:18" x14ac:dyDescent="0.25">
      <c r="B28" s="11" t="s">
        <v>19</v>
      </c>
      <c r="C28" s="11"/>
      <c r="D28" s="11"/>
      <c r="E28" s="11"/>
      <c r="F28" s="11"/>
      <c r="G28" s="11"/>
      <c r="H28" s="11"/>
      <c r="I28" s="49">
        <f>I15+I25</f>
        <v>1000</v>
      </c>
      <c r="J28" s="49">
        <f t="shared" ref="J28:R28" si="13">J15+J25</f>
        <v>1200.5</v>
      </c>
      <c r="K28" s="49">
        <f t="shared" si="13"/>
        <v>1399.5</v>
      </c>
      <c r="L28" s="49">
        <f t="shared" si="13"/>
        <v>1600.5</v>
      </c>
      <c r="M28" s="49">
        <f t="shared" si="13"/>
        <v>1800.75</v>
      </c>
      <c r="N28" s="52">
        <f t="shared" si="13"/>
        <v>1980.8250000000003</v>
      </c>
      <c r="O28" s="49">
        <f t="shared" si="13"/>
        <v>2128.3762500000003</v>
      </c>
      <c r="P28" s="49">
        <f t="shared" si="13"/>
        <v>2235.0058500000005</v>
      </c>
      <c r="Q28" s="49">
        <f t="shared" si="13"/>
        <v>2302.0560255</v>
      </c>
      <c r="R28" s="49">
        <f t="shared" si="13"/>
        <v>2371.1177062650004</v>
      </c>
    </row>
    <row r="29" spans="2:18" s="7" customFormat="1" x14ac:dyDescent="0.25">
      <c r="B29" s="7" t="s">
        <v>24</v>
      </c>
      <c r="I29" s="8" t="s">
        <v>3</v>
      </c>
      <c r="J29" s="9">
        <f>J28/I28-1</f>
        <v>0.2004999999999999</v>
      </c>
      <c r="K29" s="9">
        <f t="shared" ref="K29:R29" si="14">K28/J28-1</f>
        <v>0.16576426488962936</v>
      </c>
      <c r="L29" s="9">
        <f t="shared" si="14"/>
        <v>0.14362272240085749</v>
      </c>
      <c r="M29" s="9">
        <f t="shared" si="14"/>
        <v>0.12511715089034681</v>
      </c>
      <c r="N29" s="19">
        <f t="shared" si="14"/>
        <v>0.10000000000000009</v>
      </c>
      <c r="O29" s="9">
        <f t="shared" si="14"/>
        <v>7.4489795918367241E-2</v>
      </c>
      <c r="P29" s="9">
        <f t="shared" si="14"/>
        <v>5.0099036765703486E-2</v>
      </c>
      <c r="Q29" s="9">
        <f t="shared" si="14"/>
        <v>2.9999999999999805E-2</v>
      </c>
      <c r="R29" s="9">
        <f t="shared" si="14"/>
        <v>3.0000000000000249E-2</v>
      </c>
    </row>
  </sheetData>
  <pageMargins left="0.7" right="0.7" top="0.75" bottom="0.75" header="0.3" footer="0.3"/>
  <pageSetup scale="83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5B4D-EBE1-45B0-A2AE-6BA76A58B4DA}">
  <sheetPr>
    <tabColor theme="9" tint="0.39997558519241921"/>
  </sheetPr>
  <dimension ref="A1:AE33"/>
  <sheetViews>
    <sheetView zoomScaleNormal="100" zoomScaleSheetLayoutView="100" workbookViewId="0">
      <selection activeCell="B4" sqref="B4"/>
    </sheetView>
  </sheetViews>
  <sheetFormatPr defaultRowHeight="15" outlineLevelRow="1" x14ac:dyDescent="0.25"/>
  <cols>
    <col min="1" max="1" width="2.85546875" style="1" customWidth="1"/>
    <col min="2" max="2" width="24.28515625" style="1" customWidth="1"/>
    <col min="3" max="8" width="2.7109375" style="1" customWidth="1"/>
    <col min="9" max="12" width="9.5703125" style="1" bestFit="1" customWidth="1"/>
    <col min="13" max="13" width="9.140625" style="1" customWidth="1"/>
    <col min="14" max="18" width="9.140625" style="1"/>
    <col min="19" max="20" width="2.85546875" style="1" customWidth="1"/>
    <col min="21" max="21" width="21.5703125" style="1" customWidth="1"/>
    <col min="22" max="16384" width="9.140625" style="1"/>
  </cols>
  <sheetData>
    <row r="1" spans="1:31" x14ac:dyDescent="0.25">
      <c r="A1" s="11" t="s">
        <v>66</v>
      </c>
      <c r="B1" s="11"/>
      <c r="C1" s="11"/>
      <c r="D1" s="11"/>
      <c r="E1" s="11"/>
      <c r="F1" s="11"/>
      <c r="G1" s="11"/>
      <c r="H1" s="11"/>
    </row>
    <row r="4" spans="1:31" x14ac:dyDescent="0.25">
      <c r="B4" s="11"/>
    </row>
    <row r="5" spans="1:31" x14ac:dyDescent="0.25"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  <c r="V5" s="120" t="s">
        <v>1</v>
      </c>
      <c r="W5" s="120"/>
      <c r="X5" s="120"/>
      <c r="Y5" s="120"/>
      <c r="Z5" s="120"/>
      <c r="AA5" s="120" t="s">
        <v>2</v>
      </c>
      <c r="AB5" s="120"/>
      <c r="AC5" s="120"/>
      <c r="AD5" s="120"/>
      <c r="AE5" s="120"/>
    </row>
    <row r="6" spans="1:31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24" t="str">
        <f>'Income Statement'!M6</f>
        <v>12/31</v>
      </c>
      <c r="N6" s="121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  <c r="V6" s="82" t="str">
        <f t="shared" ref="V6:AE7" si="0">I6</f>
        <v>12/31</v>
      </c>
      <c r="W6" s="82" t="str">
        <f t="shared" si="0"/>
        <v>12/31</v>
      </c>
      <c r="X6" s="82" t="str">
        <f t="shared" si="0"/>
        <v>12/31</v>
      </c>
      <c r="Y6" s="82" t="str">
        <f t="shared" si="0"/>
        <v>12/31</v>
      </c>
      <c r="Z6" s="82" t="str">
        <f t="shared" si="0"/>
        <v>12/31</v>
      </c>
      <c r="AA6" s="138" t="str">
        <f t="shared" si="0"/>
        <v>12/31</v>
      </c>
      <c r="AB6" s="82" t="str">
        <f t="shared" si="0"/>
        <v>12/31</v>
      </c>
      <c r="AC6" s="82" t="str">
        <f t="shared" si="0"/>
        <v>12/31</v>
      </c>
      <c r="AD6" s="82" t="str">
        <f t="shared" si="0"/>
        <v>12/31</v>
      </c>
      <c r="AE6" s="82" t="str">
        <f t="shared" si="0"/>
        <v>12/31</v>
      </c>
    </row>
    <row r="7" spans="1:31" x14ac:dyDescent="0.25">
      <c r="I7" s="78">
        <f>'Income Statement'!I7</f>
        <v>2016</v>
      </c>
      <c r="J7" s="78">
        <f>'Income Statement'!J7</f>
        <v>2017</v>
      </c>
      <c r="K7" s="78">
        <f>'Income Statement'!K7</f>
        <v>2018</v>
      </c>
      <c r="L7" s="78">
        <f>'Income Statement'!L7</f>
        <v>2019</v>
      </c>
      <c r="M7" s="125">
        <f>'Income Statement'!M7</f>
        <v>2020</v>
      </c>
      <c r="N7" s="78">
        <f>'Income Statement'!N7</f>
        <v>2021</v>
      </c>
      <c r="O7" s="78">
        <f>'Income Statement'!O7</f>
        <v>2022</v>
      </c>
      <c r="P7" s="78">
        <f>'Income Statement'!P7</f>
        <v>2023</v>
      </c>
      <c r="Q7" s="78">
        <f>'Income Statement'!Q7</f>
        <v>2024</v>
      </c>
      <c r="R7" s="78">
        <f>'Income Statement'!R7</f>
        <v>2025</v>
      </c>
      <c r="S7" s="17"/>
      <c r="T7" s="17"/>
      <c r="V7" s="78">
        <f t="shared" si="0"/>
        <v>2016</v>
      </c>
      <c r="W7" s="78">
        <f t="shared" si="0"/>
        <v>2017</v>
      </c>
      <c r="X7" s="78">
        <f t="shared" si="0"/>
        <v>2018</v>
      </c>
      <c r="Y7" s="78">
        <f t="shared" si="0"/>
        <v>2019</v>
      </c>
      <c r="Z7" s="78">
        <f t="shared" si="0"/>
        <v>2020</v>
      </c>
      <c r="AA7" s="79">
        <f t="shared" si="0"/>
        <v>2021</v>
      </c>
      <c r="AB7" s="78">
        <f t="shared" si="0"/>
        <v>2022</v>
      </c>
      <c r="AC7" s="78">
        <f t="shared" si="0"/>
        <v>2023</v>
      </c>
      <c r="AD7" s="78">
        <f t="shared" si="0"/>
        <v>2024</v>
      </c>
      <c r="AE7" s="78">
        <f t="shared" si="0"/>
        <v>2025</v>
      </c>
    </row>
    <row r="8" spans="1:31" hidden="1" outlineLevel="1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  <c r="S8" s="17"/>
      <c r="T8" s="17"/>
      <c r="V8" s="17"/>
      <c r="W8" s="17"/>
      <c r="X8" s="17"/>
      <c r="Y8" s="17"/>
      <c r="Z8" s="17"/>
      <c r="AA8" s="31"/>
      <c r="AB8" s="17"/>
      <c r="AC8" s="17"/>
      <c r="AD8" s="17"/>
      <c r="AE8" s="17"/>
    </row>
    <row r="9" spans="1:31" hidden="1" outlineLevel="1" x14ac:dyDescent="0.25">
      <c r="I9" s="17"/>
      <c r="J9" s="17"/>
      <c r="K9" s="17"/>
      <c r="L9" s="17"/>
      <c r="M9" s="32"/>
      <c r="N9" s="31"/>
      <c r="O9" s="17"/>
      <c r="P9" s="17"/>
      <c r="Q9" s="17"/>
      <c r="R9" s="17"/>
      <c r="S9" s="17"/>
      <c r="T9" s="17"/>
      <c r="V9" s="17"/>
      <c r="W9" s="17"/>
      <c r="X9" s="17"/>
      <c r="Y9" s="17"/>
      <c r="Z9" s="17"/>
      <c r="AA9" s="31"/>
      <c r="AB9" s="17"/>
      <c r="AC9" s="17"/>
      <c r="AD9" s="17"/>
      <c r="AE9" s="17"/>
    </row>
    <row r="10" spans="1:31" hidden="1" outlineLevel="1" x14ac:dyDescent="0.25">
      <c r="I10" s="17"/>
      <c r="J10" s="17"/>
      <c r="K10" s="17"/>
      <c r="L10" s="17"/>
      <c r="M10" s="32"/>
      <c r="N10" s="31"/>
      <c r="O10" s="17"/>
      <c r="P10" s="17"/>
      <c r="Q10" s="17"/>
      <c r="R10" s="17"/>
      <c r="S10" s="17"/>
      <c r="T10" s="17"/>
      <c r="V10" s="17"/>
      <c r="W10" s="17"/>
      <c r="X10" s="17"/>
      <c r="Y10" s="17"/>
      <c r="Z10" s="17"/>
      <c r="AA10" s="31"/>
      <c r="AB10" s="17"/>
      <c r="AC10" s="17"/>
      <c r="AD10" s="17"/>
      <c r="AE10" s="17"/>
    </row>
    <row r="11" spans="1:31" hidden="1" outlineLevel="1" x14ac:dyDescent="0.25">
      <c r="I11" s="17"/>
      <c r="J11" s="17"/>
      <c r="K11" s="17"/>
      <c r="L11" s="17"/>
      <c r="M11" s="32"/>
      <c r="N11" s="31"/>
      <c r="O11" s="17"/>
      <c r="P11" s="17"/>
      <c r="Q11" s="17"/>
      <c r="R11" s="17"/>
      <c r="S11" s="17"/>
      <c r="T11" s="17"/>
      <c r="V11" s="17"/>
      <c r="W11" s="17"/>
      <c r="X11" s="17"/>
      <c r="Y11" s="17"/>
      <c r="Z11" s="17"/>
      <c r="AA11" s="31"/>
      <c r="AB11" s="17"/>
      <c r="AC11" s="17"/>
      <c r="AD11" s="17"/>
      <c r="AE11" s="17"/>
    </row>
    <row r="12" spans="1:31" hidden="1" outlineLevel="1" x14ac:dyDescent="0.25">
      <c r="I12" s="17"/>
      <c r="J12" s="17"/>
      <c r="K12" s="17"/>
      <c r="L12" s="17"/>
      <c r="M12" s="32"/>
      <c r="N12" s="31"/>
      <c r="O12" s="17"/>
      <c r="P12" s="17"/>
      <c r="Q12" s="17"/>
      <c r="R12" s="17"/>
      <c r="S12" s="17"/>
      <c r="T12" s="17"/>
      <c r="V12" s="17"/>
      <c r="W12" s="17"/>
      <c r="X12" s="17"/>
      <c r="Y12" s="17"/>
      <c r="Z12" s="17"/>
      <c r="AA12" s="31"/>
      <c r="AB12" s="17"/>
      <c r="AC12" s="17"/>
      <c r="AD12" s="17"/>
      <c r="AE12" s="17"/>
    </row>
    <row r="13" spans="1:31" hidden="1" outlineLevel="1" x14ac:dyDescent="0.25">
      <c r="I13" s="17"/>
      <c r="J13" s="17"/>
      <c r="K13" s="17"/>
      <c r="L13" s="17"/>
      <c r="M13" s="32"/>
      <c r="N13" s="31"/>
      <c r="O13" s="17"/>
      <c r="P13" s="17"/>
      <c r="Q13" s="17"/>
      <c r="R13" s="17"/>
      <c r="S13" s="17"/>
      <c r="T13" s="17"/>
      <c r="V13" s="17"/>
      <c r="W13" s="17"/>
      <c r="X13" s="17"/>
      <c r="Y13" s="17"/>
      <c r="Z13" s="17"/>
      <c r="AA13" s="31"/>
      <c r="AB13" s="17"/>
      <c r="AC13" s="17"/>
      <c r="AD13" s="17"/>
      <c r="AE13" s="17"/>
    </row>
    <row r="14" spans="1:31" hidden="1" outlineLevel="1" x14ac:dyDescent="0.25">
      <c r="I14" s="17"/>
      <c r="J14" s="17"/>
      <c r="K14" s="17"/>
      <c r="L14" s="17"/>
      <c r="M14" s="32"/>
      <c r="N14" s="31"/>
      <c r="O14" s="17"/>
      <c r="P14" s="17"/>
      <c r="Q14" s="17"/>
      <c r="R14" s="17"/>
      <c r="S14" s="17"/>
      <c r="T14" s="17"/>
      <c r="V14" s="17"/>
      <c r="W14" s="17"/>
      <c r="X14" s="17"/>
      <c r="Y14" s="17"/>
      <c r="Z14" s="17"/>
      <c r="AA14" s="31"/>
      <c r="AB14" s="17"/>
      <c r="AC14" s="17"/>
      <c r="AD14" s="17"/>
      <c r="AE14" s="17"/>
    </row>
    <row r="15" spans="1:31" collapsed="1" x14ac:dyDescent="0.25">
      <c r="N15" s="4"/>
      <c r="O15" s="5"/>
      <c r="P15" s="5"/>
      <c r="Q15" s="5"/>
      <c r="R15" s="5"/>
      <c r="AA15" s="4"/>
    </row>
    <row r="16" spans="1:31" x14ac:dyDescent="0.25">
      <c r="B16" s="11" t="s">
        <v>68</v>
      </c>
      <c r="N16" s="4"/>
      <c r="O16" s="5"/>
      <c r="P16" s="5"/>
      <c r="Q16" s="5"/>
      <c r="R16" s="5"/>
      <c r="U16" s="11" t="s">
        <v>68</v>
      </c>
      <c r="AA16" s="4"/>
    </row>
    <row r="17" spans="2:31" x14ac:dyDescent="0.25">
      <c r="B17" s="16" t="s">
        <v>6</v>
      </c>
      <c r="I17" s="135">
        <v>500</v>
      </c>
      <c r="J17" s="135">
        <v>510</v>
      </c>
      <c r="K17" s="135">
        <v>550</v>
      </c>
      <c r="L17" s="135">
        <v>600</v>
      </c>
      <c r="M17" s="135">
        <v>625</v>
      </c>
      <c r="N17" s="15">
        <f>M17*(1+AA17)</f>
        <v>643.75</v>
      </c>
      <c r="O17" s="10">
        <f>N17*(1+AB17)</f>
        <v>650.1875</v>
      </c>
      <c r="P17" s="10">
        <f>O17*(1+AC17)</f>
        <v>656.68937500000004</v>
      </c>
      <c r="Q17" s="10">
        <f>P17*(1+AD17)</f>
        <v>663.25626875</v>
      </c>
      <c r="R17" s="10">
        <f>Q17*(1+AE17)</f>
        <v>669.88883143750002</v>
      </c>
      <c r="U17" s="16" t="str">
        <f t="shared" ref="U17:U22" si="1">"Growth Rate "&amp;B17</f>
        <v>Growth Rate Store 1</v>
      </c>
      <c r="V17" s="149" t="str">
        <f t="shared" ref="V17:Z22" si="2">IFERROR(I17/H17-1,"N/A")</f>
        <v>N/A</v>
      </c>
      <c r="W17" s="149">
        <f t="shared" si="2"/>
        <v>2.0000000000000018E-2</v>
      </c>
      <c r="X17" s="149">
        <f t="shared" si="2"/>
        <v>7.8431372549019551E-2</v>
      </c>
      <c r="Y17" s="149">
        <f t="shared" si="2"/>
        <v>9.0909090909090828E-2</v>
      </c>
      <c r="Z17" s="149">
        <f t="shared" si="2"/>
        <v>4.1666666666666741E-2</v>
      </c>
      <c r="AA17" s="139">
        <v>0.03</v>
      </c>
      <c r="AB17" s="18">
        <v>0.01</v>
      </c>
      <c r="AC17" s="18">
        <v>0.01</v>
      </c>
      <c r="AD17" s="18">
        <v>0.01</v>
      </c>
      <c r="AE17" s="18">
        <v>0.01</v>
      </c>
    </row>
    <row r="18" spans="2:31" x14ac:dyDescent="0.25">
      <c r="B18" s="16" t="s">
        <v>7</v>
      </c>
      <c r="I18" s="135">
        <v>260</v>
      </c>
      <c r="J18" s="135">
        <v>400</v>
      </c>
      <c r="K18" s="135">
        <v>450</v>
      </c>
      <c r="L18" s="135">
        <v>550</v>
      </c>
      <c r="M18" s="135">
        <v>600</v>
      </c>
      <c r="N18" s="15">
        <f t="shared" ref="N18:N22" si="3">M18*(1+AA18)</f>
        <v>618</v>
      </c>
      <c r="O18" s="10">
        <f t="shared" ref="O18:O22" si="4">N18*(1+AB18)</f>
        <v>624.17999999999995</v>
      </c>
      <c r="P18" s="10">
        <f t="shared" ref="P18:P22" si="5">O18*(1+AC18)</f>
        <v>630.42179999999996</v>
      </c>
      <c r="Q18" s="10">
        <f t="shared" ref="Q18:Q22" si="6">P18*(1+AD18)</f>
        <v>636.72601799999995</v>
      </c>
      <c r="R18" s="10">
        <f t="shared" ref="R18:R22" si="7">Q18*(1+AE18)</f>
        <v>643.09327817999997</v>
      </c>
      <c r="U18" s="16" t="str">
        <f t="shared" si="1"/>
        <v>Growth Rate Store 2</v>
      </c>
      <c r="V18" s="149" t="str">
        <f t="shared" si="2"/>
        <v>N/A</v>
      </c>
      <c r="W18" s="149">
        <f t="shared" si="2"/>
        <v>0.53846153846153855</v>
      </c>
      <c r="X18" s="149">
        <f t="shared" si="2"/>
        <v>0.125</v>
      </c>
      <c r="Y18" s="149">
        <f t="shared" si="2"/>
        <v>0.22222222222222232</v>
      </c>
      <c r="Z18" s="149">
        <f t="shared" si="2"/>
        <v>9.0909090909090828E-2</v>
      </c>
      <c r="AA18" s="139">
        <v>0.03</v>
      </c>
      <c r="AB18" s="18">
        <v>0.01</v>
      </c>
      <c r="AC18" s="18">
        <v>0.01</v>
      </c>
      <c r="AD18" s="18">
        <v>0.01</v>
      </c>
      <c r="AE18" s="18">
        <v>0.01</v>
      </c>
    </row>
    <row r="19" spans="2:31" x14ac:dyDescent="0.25">
      <c r="B19" s="16" t="s">
        <v>8</v>
      </c>
      <c r="I19" s="135">
        <v>240</v>
      </c>
      <c r="J19" s="135">
        <v>200</v>
      </c>
      <c r="K19" s="135">
        <v>225</v>
      </c>
      <c r="L19" s="135">
        <v>250</v>
      </c>
      <c r="M19" s="135">
        <v>225</v>
      </c>
      <c r="N19" s="15">
        <f t="shared" si="3"/>
        <v>0</v>
      </c>
      <c r="O19" s="10">
        <f t="shared" si="4"/>
        <v>0</v>
      </c>
      <c r="P19" s="10">
        <f t="shared" si="5"/>
        <v>0</v>
      </c>
      <c r="Q19" s="10">
        <f t="shared" si="6"/>
        <v>0</v>
      </c>
      <c r="R19" s="10">
        <f t="shared" si="7"/>
        <v>0</v>
      </c>
      <c r="U19" s="16" t="str">
        <f t="shared" si="1"/>
        <v>Growth Rate Store 3</v>
      </c>
      <c r="V19" s="149" t="str">
        <f t="shared" si="2"/>
        <v>N/A</v>
      </c>
      <c r="W19" s="149">
        <f t="shared" si="2"/>
        <v>-0.16666666666666663</v>
      </c>
      <c r="X19" s="149">
        <f t="shared" si="2"/>
        <v>0.125</v>
      </c>
      <c r="Y19" s="149">
        <f t="shared" si="2"/>
        <v>0.11111111111111116</v>
      </c>
      <c r="Z19" s="149">
        <f t="shared" si="2"/>
        <v>-9.9999999999999978E-2</v>
      </c>
      <c r="AA19" s="139">
        <v>-1</v>
      </c>
      <c r="AB19" s="18">
        <v>0</v>
      </c>
      <c r="AC19" s="18">
        <v>0</v>
      </c>
      <c r="AD19" s="18">
        <v>0</v>
      </c>
      <c r="AE19" s="18">
        <v>0</v>
      </c>
    </row>
    <row r="20" spans="2:31" x14ac:dyDescent="0.25">
      <c r="B20" s="16" t="s">
        <v>12</v>
      </c>
      <c r="I20" s="135"/>
      <c r="J20" s="135">
        <v>90</v>
      </c>
      <c r="K20" s="135">
        <v>95</v>
      </c>
      <c r="L20" s="135">
        <v>110</v>
      </c>
      <c r="M20" s="135">
        <v>110</v>
      </c>
      <c r="N20" s="15">
        <f t="shared" si="3"/>
        <v>113.3</v>
      </c>
      <c r="O20" s="10">
        <f t="shared" si="4"/>
        <v>114.43299999999999</v>
      </c>
      <c r="P20" s="10">
        <f t="shared" si="5"/>
        <v>115.57732999999999</v>
      </c>
      <c r="Q20" s="10">
        <f t="shared" si="6"/>
        <v>116.7331033</v>
      </c>
      <c r="R20" s="10">
        <f t="shared" si="7"/>
        <v>117.90043433299999</v>
      </c>
      <c r="U20" s="16" t="str">
        <f t="shared" si="1"/>
        <v>Growth Rate Kiosk 1</v>
      </c>
      <c r="V20" s="149" t="str">
        <f t="shared" si="2"/>
        <v>N/A</v>
      </c>
      <c r="W20" s="149" t="str">
        <f t="shared" si="2"/>
        <v>N/A</v>
      </c>
      <c r="X20" s="149">
        <f t="shared" si="2"/>
        <v>5.555555555555558E-2</v>
      </c>
      <c r="Y20" s="149">
        <f t="shared" si="2"/>
        <v>0.15789473684210531</v>
      </c>
      <c r="Z20" s="149">
        <f t="shared" si="2"/>
        <v>0</v>
      </c>
      <c r="AA20" s="139">
        <v>0.03</v>
      </c>
      <c r="AB20" s="18">
        <v>0.01</v>
      </c>
      <c r="AC20" s="18">
        <v>0.01</v>
      </c>
      <c r="AD20" s="18">
        <v>0.01</v>
      </c>
      <c r="AE20" s="18">
        <v>0.01</v>
      </c>
    </row>
    <row r="21" spans="2:31" x14ac:dyDescent="0.25">
      <c r="B21" s="16" t="s">
        <v>13</v>
      </c>
      <c r="I21" s="135"/>
      <c r="J21" s="135"/>
      <c r="K21" s="135">
        <v>80</v>
      </c>
      <c r="L21" s="135">
        <v>90</v>
      </c>
      <c r="M21" s="135">
        <v>100</v>
      </c>
      <c r="N21" s="15">
        <f t="shared" si="3"/>
        <v>110.00000000000001</v>
      </c>
      <c r="O21" s="10">
        <f t="shared" si="4"/>
        <v>113.30000000000001</v>
      </c>
      <c r="P21" s="10">
        <f t="shared" si="5"/>
        <v>114.43300000000001</v>
      </c>
      <c r="Q21" s="10">
        <f t="shared" si="6"/>
        <v>115.57733</v>
      </c>
      <c r="R21" s="10">
        <f t="shared" si="7"/>
        <v>116.73310330000001</v>
      </c>
      <c r="U21" s="16" t="str">
        <f t="shared" si="1"/>
        <v>Growth Rate Kiosk 2</v>
      </c>
      <c r="V21" s="149" t="str">
        <f t="shared" si="2"/>
        <v>N/A</v>
      </c>
      <c r="W21" s="149" t="str">
        <f t="shared" si="2"/>
        <v>N/A</v>
      </c>
      <c r="X21" s="149" t="str">
        <f t="shared" si="2"/>
        <v>N/A</v>
      </c>
      <c r="Y21" s="149">
        <f t="shared" si="2"/>
        <v>0.125</v>
      </c>
      <c r="Z21" s="149">
        <f t="shared" si="2"/>
        <v>0.11111111111111116</v>
      </c>
      <c r="AA21" s="139">
        <v>0.1</v>
      </c>
      <c r="AB21" s="18">
        <v>0.03</v>
      </c>
      <c r="AC21" s="18">
        <v>0.01</v>
      </c>
      <c r="AD21" s="18">
        <v>0.01</v>
      </c>
      <c r="AE21" s="18">
        <v>0.01</v>
      </c>
    </row>
    <row r="22" spans="2:31" x14ac:dyDescent="0.25">
      <c r="B22" s="16" t="s">
        <v>9</v>
      </c>
      <c r="I22" s="135"/>
      <c r="J22" s="135"/>
      <c r="K22" s="135"/>
      <c r="L22" s="135"/>
      <c r="M22" s="135">
        <v>140</v>
      </c>
      <c r="N22" s="15">
        <f t="shared" si="3"/>
        <v>280</v>
      </c>
      <c r="O22" s="10">
        <f t="shared" si="4"/>
        <v>336</v>
      </c>
      <c r="P22" s="10">
        <f t="shared" si="5"/>
        <v>369.6</v>
      </c>
      <c r="Q22" s="10">
        <f t="shared" si="6"/>
        <v>384.38400000000001</v>
      </c>
      <c r="R22" s="10">
        <f t="shared" si="7"/>
        <v>388.22784000000001</v>
      </c>
      <c r="U22" s="16" t="str">
        <f t="shared" si="1"/>
        <v>Growth Rate Store 4</v>
      </c>
      <c r="V22" s="149" t="str">
        <f t="shared" si="2"/>
        <v>N/A</v>
      </c>
      <c r="W22" s="149" t="str">
        <f t="shared" si="2"/>
        <v>N/A</v>
      </c>
      <c r="X22" s="149" t="str">
        <f t="shared" si="2"/>
        <v>N/A</v>
      </c>
      <c r="Y22" s="149" t="str">
        <f t="shared" si="2"/>
        <v>N/A</v>
      </c>
      <c r="Z22" s="149" t="str">
        <f t="shared" si="2"/>
        <v>N/A</v>
      </c>
      <c r="AA22" s="139">
        <v>1</v>
      </c>
      <c r="AB22" s="18">
        <v>0.2</v>
      </c>
      <c r="AC22" s="18">
        <v>0.1</v>
      </c>
      <c r="AD22" s="18">
        <v>0.04</v>
      </c>
      <c r="AE22" s="18">
        <v>0.01</v>
      </c>
    </row>
    <row r="23" spans="2:31" x14ac:dyDescent="0.25">
      <c r="N23" s="4"/>
      <c r="O23" s="5"/>
      <c r="P23" s="5"/>
      <c r="Q23" s="5"/>
      <c r="R23" s="5"/>
      <c r="AA23" s="4"/>
    </row>
    <row r="24" spans="2:31" x14ac:dyDescent="0.25">
      <c r="B24" s="11" t="s">
        <v>10</v>
      </c>
      <c r="N24" s="4"/>
      <c r="O24" s="5"/>
      <c r="P24" s="5"/>
      <c r="Q24" s="5"/>
      <c r="R24" s="5"/>
      <c r="U24" s="11" t="s">
        <v>67</v>
      </c>
      <c r="AA24" s="4"/>
    </row>
    <row r="25" spans="2:31" x14ac:dyDescent="0.25">
      <c r="B25" s="16" t="s">
        <v>11</v>
      </c>
      <c r="N25" s="20">
        <v>215</v>
      </c>
      <c r="O25" s="10">
        <f>N25*(1+AB25)</f>
        <v>290.25</v>
      </c>
      <c r="P25" s="10">
        <f>O25*(1+AC25)</f>
        <v>348.3</v>
      </c>
      <c r="Q25" s="10">
        <f>P25*(1+AD25)</f>
        <v>383.13000000000005</v>
      </c>
      <c r="R25" s="10">
        <f>Q25*(1+AE25)</f>
        <v>402.28650000000005</v>
      </c>
      <c r="U25" s="16" t="str">
        <f>"Growth Rate "&amp;B25</f>
        <v>Growth Rate Store 5</v>
      </c>
      <c r="V25" s="21"/>
      <c r="W25" s="21"/>
      <c r="X25" s="21"/>
      <c r="Y25" s="21"/>
      <c r="Z25" s="21"/>
      <c r="AA25" s="139"/>
      <c r="AB25" s="18">
        <v>0.35</v>
      </c>
      <c r="AC25" s="18">
        <v>0.2</v>
      </c>
      <c r="AD25" s="18">
        <v>0.1</v>
      </c>
      <c r="AE25" s="18">
        <v>0.05</v>
      </c>
    </row>
    <row r="26" spans="2:31" x14ac:dyDescent="0.25">
      <c r="B26" s="16" t="s">
        <v>14</v>
      </c>
      <c r="I26" s="12"/>
      <c r="J26" s="12"/>
      <c r="K26" s="12"/>
      <c r="L26" s="12"/>
      <c r="M26" s="23"/>
      <c r="N26" s="136"/>
      <c r="O26" s="26"/>
      <c r="P26" s="137"/>
      <c r="Q26" s="137"/>
      <c r="R26" s="26">
        <v>33</v>
      </c>
      <c r="U26" s="16" t="str">
        <f>"Growth Rate "&amp;B26</f>
        <v>Growth Rate Kiosk 3</v>
      </c>
      <c r="V26" s="21"/>
      <c r="W26" s="21"/>
      <c r="X26" s="21"/>
      <c r="Y26" s="21"/>
      <c r="Z26" s="21"/>
      <c r="AA26" s="139"/>
      <c r="AB26" s="18"/>
      <c r="AC26" s="18"/>
      <c r="AD26" s="18"/>
      <c r="AE26" s="18"/>
    </row>
    <row r="27" spans="2:31" x14ac:dyDescent="0.25">
      <c r="N27" s="4"/>
      <c r="O27" s="5"/>
      <c r="P27" s="5"/>
      <c r="Q27" s="5"/>
      <c r="R27" s="5"/>
    </row>
    <row r="28" spans="2:31" x14ac:dyDescent="0.25">
      <c r="B28" s="11" t="s">
        <v>19</v>
      </c>
      <c r="C28" s="11"/>
      <c r="D28" s="11"/>
      <c r="E28" s="11"/>
      <c r="F28" s="11"/>
      <c r="G28" s="11"/>
      <c r="H28" s="11"/>
      <c r="I28" s="51">
        <f t="shared" ref="I28:R28" si="8">SUM(I17:I26)</f>
        <v>1000</v>
      </c>
      <c r="J28" s="51">
        <f t="shared" si="8"/>
        <v>1200</v>
      </c>
      <c r="K28" s="51">
        <f t="shared" si="8"/>
        <v>1400</v>
      </c>
      <c r="L28" s="51">
        <f t="shared" si="8"/>
        <v>1600</v>
      </c>
      <c r="M28" s="51">
        <f t="shared" si="8"/>
        <v>1800</v>
      </c>
      <c r="N28" s="50">
        <f t="shared" si="8"/>
        <v>1980.05</v>
      </c>
      <c r="O28" s="51">
        <f t="shared" si="8"/>
        <v>2128.3504999999996</v>
      </c>
      <c r="P28" s="51">
        <f t="shared" si="8"/>
        <v>2235.0215050000002</v>
      </c>
      <c r="Q28" s="51">
        <f t="shared" si="8"/>
        <v>2299.80672005</v>
      </c>
      <c r="R28" s="51">
        <f t="shared" si="8"/>
        <v>2371.1299872505001</v>
      </c>
    </row>
    <row r="29" spans="2:31" s="7" customFormat="1" x14ac:dyDescent="0.25">
      <c r="B29" s="7" t="s">
        <v>4</v>
      </c>
      <c r="I29" s="8" t="s">
        <v>3</v>
      </c>
      <c r="J29" s="9">
        <f>J28/I28-1</f>
        <v>0.19999999999999996</v>
      </c>
      <c r="K29" s="9">
        <f>K28/J28-1</f>
        <v>0.16666666666666674</v>
      </c>
      <c r="L29" s="9">
        <f>L28/K28-1</f>
        <v>0.14285714285714279</v>
      </c>
      <c r="M29" s="9">
        <f>M28/L28-1</f>
        <v>0.125</v>
      </c>
      <c r="N29" s="19">
        <f t="shared" ref="N29:R29" si="9">N28/M28-1</f>
        <v>0.10002777777777783</v>
      </c>
      <c r="O29" s="9">
        <f t="shared" si="9"/>
        <v>7.4897351076992802E-2</v>
      </c>
      <c r="P29" s="9">
        <f t="shared" si="9"/>
        <v>5.0119096925060225E-2</v>
      </c>
      <c r="Q29" s="9">
        <f t="shared" si="9"/>
        <v>2.8986394495564394E-2</v>
      </c>
      <c r="R29" s="9">
        <f t="shared" si="9"/>
        <v>3.101272232083474E-2</v>
      </c>
    </row>
    <row r="31" spans="2:31" x14ac:dyDescent="0.25">
      <c r="L31" s="30"/>
      <c r="M31" s="30"/>
    </row>
    <row r="33" spans="9:18" x14ac:dyDescent="0.25">
      <c r="I33" s="6"/>
      <c r="J33" s="6"/>
      <c r="K33" s="6"/>
      <c r="L33" s="6"/>
      <c r="M33" s="6"/>
      <c r="N33" s="6"/>
      <c r="O33" s="6"/>
      <c r="P33" s="6"/>
      <c r="Q33" s="6"/>
      <c r="R33" s="6"/>
    </row>
  </sheetData>
  <pageMargins left="0.7" right="0.7" top="0.75" bottom="0.75" header="0.3" footer="0.3"/>
  <pageSetup scale="85" orientation="landscape" horizontalDpi="1200" verticalDpi="1200" r:id="rId1"/>
  <colBreaks count="1" manualBreakCount="1">
    <brk id="19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61F1-5A88-4D60-B469-E0A294FF5046}">
  <sheetPr>
    <tabColor theme="9" tint="0.39997558519241921"/>
  </sheetPr>
  <dimension ref="A1:AE33"/>
  <sheetViews>
    <sheetView zoomScaleNormal="100" workbookViewId="0">
      <selection activeCell="B4" sqref="B4"/>
    </sheetView>
  </sheetViews>
  <sheetFormatPr defaultRowHeight="15" outlineLevelRow="1" x14ac:dyDescent="0.25"/>
  <cols>
    <col min="1" max="1" width="2.85546875" style="1" customWidth="1"/>
    <col min="2" max="2" width="24.28515625" style="1" customWidth="1"/>
    <col min="3" max="8" width="2.7109375" style="1" customWidth="1"/>
    <col min="9" max="12" width="9.7109375" style="1" bestFit="1" customWidth="1"/>
    <col min="13" max="13" width="9.140625" style="1" customWidth="1"/>
    <col min="14" max="18" width="9.5703125" style="1" bestFit="1" customWidth="1"/>
    <col min="19" max="20" width="2.85546875" style="1" customWidth="1"/>
    <col min="21" max="21" width="26.5703125" style="1" customWidth="1"/>
    <col min="22" max="31" width="9.140625" style="1"/>
    <col min="32" max="32" width="3" style="1" customWidth="1"/>
    <col min="33" max="16384" width="9.140625" style="1"/>
  </cols>
  <sheetData>
    <row r="1" spans="1:31" x14ac:dyDescent="0.25">
      <c r="A1" s="11" t="s">
        <v>69</v>
      </c>
      <c r="B1" s="11"/>
      <c r="C1" s="11"/>
      <c r="D1" s="11"/>
      <c r="E1" s="11"/>
      <c r="F1" s="11"/>
      <c r="G1" s="11"/>
      <c r="H1" s="11"/>
    </row>
    <row r="4" spans="1:31" x14ac:dyDescent="0.25">
      <c r="B4" s="11"/>
    </row>
    <row r="5" spans="1:31" x14ac:dyDescent="0.25">
      <c r="B5" s="11"/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  <c r="V5" s="120" t="s">
        <v>2</v>
      </c>
      <c r="W5" s="120"/>
      <c r="X5" s="120"/>
      <c r="Y5" s="120"/>
      <c r="Z5" s="120"/>
      <c r="AA5" s="120" t="s">
        <v>2</v>
      </c>
      <c r="AB5" s="120"/>
      <c r="AC5" s="120"/>
      <c r="AD5" s="120"/>
      <c r="AE5" s="120"/>
    </row>
    <row r="6" spans="1:31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24" t="str">
        <f>'Income Statement'!M6</f>
        <v>12/31</v>
      </c>
      <c r="N6" s="121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  <c r="V6" s="121" t="str">
        <f t="shared" ref="V6:AE6" si="0">I6</f>
        <v>12/31</v>
      </c>
      <c r="W6" s="121" t="str">
        <f t="shared" si="0"/>
        <v>12/31</v>
      </c>
      <c r="X6" s="121" t="str">
        <f t="shared" si="0"/>
        <v>12/31</v>
      </c>
      <c r="Y6" s="121" t="str">
        <f t="shared" si="0"/>
        <v>12/31</v>
      </c>
      <c r="Z6" s="121" t="str">
        <f t="shared" si="0"/>
        <v>12/31</v>
      </c>
      <c r="AA6" s="146" t="str">
        <f t="shared" si="0"/>
        <v>12/31</v>
      </c>
      <c r="AB6" s="121" t="str">
        <f t="shared" si="0"/>
        <v>12/31</v>
      </c>
      <c r="AC6" s="121" t="str">
        <f t="shared" si="0"/>
        <v>12/31</v>
      </c>
      <c r="AD6" s="121" t="str">
        <f t="shared" si="0"/>
        <v>12/31</v>
      </c>
      <c r="AE6" s="121" t="str">
        <f t="shared" si="0"/>
        <v>12/31</v>
      </c>
    </row>
    <row r="7" spans="1:31" x14ac:dyDescent="0.25">
      <c r="I7" s="78">
        <f>'Income Statement'!I7</f>
        <v>2016</v>
      </c>
      <c r="J7" s="78">
        <f>'Income Statement'!J7</f>
        <v>2017</v>
      </c>
      <c r="K7" s="78">
        <f>'Income Statement'!K7</f>
        <v>2018</v>
      </c>
      <c r="L7" s="78">
        <f>'Income Statement'!L7</f>
        <v>2019</v>
      </c>
      <c r="M7" s="125">
        <f>'Income Statement'!M7</f>
        <v>2020</v>
      </c>
      <c r="N7" s="78">
        <f>'Income Statement'!N7</f>
        <v>2021</v>
      </c>
      <c r="O7" s="78">
        <f>'Income Statement'!O7</f>
        <v>2022</v>
      </c>
      <c r="P7" s="78">
        <f>'Income Statement'!P7</f>
        <v>2023</v>
      </c>
      <c r="Q7" s="78">
        <f>'Income Statement'!Q7</f>
        <v>2024</v>
      </c>
      <c r="R7" s="78">
        <f>'Income Statement'!R7</f>
        <v>2025</v>
      </c>
      <c r="S7" s="17"/>
      <c r="T7" s="17"/>
      <c r="V7" s="78">
        <f>I7</f>
        <v>2016</v>
      </c>
      <c r="W7" s="78">
        <f t="shared" ref="W7" si="1">J7</f>
        <v>2017</v>
      </c>
      <c r="X7" s="78">
        <f t="shared" ref="X7" si="2">K7</f>
        <v>2018</v>
      </c>
      <c r="Y7" s="78">
        <f t="shared" ref="Y7" si="3">L7</f>
        <v>2019</v>
      </c>
      <c r="Z7" s="78">
        <f t="shared" ref="Z7" si="4">M7</f>
        <v>2020</v>
      </c>
      <c r="AA7" s="79">
        <f>N7</f>
        <v>2021</v>
      </c>
      <c r="AB7" s="78">
        <f t="shared" ref="AB7:AE7" si="5">O7</f>
        <v>2022</v>
      </c>
      <c r="AC7" s="78">
        <f t="shared" si="5"/>
        <v>2023</v>
      </c>
      <c r="AD7" s="78">
        <f t="shared" si="5"/>
        <v>2024</v>
      </c>
      <c r="AE7" s="78">
        <f t="shared" si="5"/>
        <v>2025</v>
      </c>
    </row>
    <row r="8" spans="1:31" hidden="1" outlineLevel="1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  <c r="S8" s="17"/>
      <c r="T8" s="17"/>
      <c r="V8" s="17"/>
      <c r="W8" s="17"/>
      <c r="X8" s="17"/>
      <c r="Y8" s="17"/>
      <c r="Z8" s="17"/>
      <c r="AA8" s="31"/>
      <c r="AB8" s="17"/>
      <c r="AC8" s="17"/>
      <c r="AD8" s="17"/>
      <c r="AE8" s="17"/>
    </row>
    <row r="9" spans="1:31" hidden="1" outlineLevel="1" x14ac:dyDescent="0.25">
      <c r="I9" s="17"/>
      <c r="J9" s="17"/>
      <c r="K9" s="17"/>
      <c r="L9" s="17"/>
      <c r="M9" s="32"/>
      <c r="N9" s="31"/>
      <c r="O9" s="17"/>
      <c r="P9" s="17"/>
      <c r="Q9" s="17"/>
      <c r="R9" s="17"/>
      <c r="S9" s="17"/>
      <c r="T9" s="17"/>
      <c r="V9" s="17"/>
      <c r="W9" s="17"/>
      <c r="X9" s="17"/>
      <c r="Y9" s="17"/>
      <c r="Z9" s="17"/>
      <c r="AA9" s="31"/>
      <c r="AB9" s="17"/>
      <c r="AC9" s="17"/>
      <c r="AD9" s="17"/>
      <c r="AE9" s="17"/>
    </row>
    <row r="10" spans="1:31" hidden="1" outlineLevel="1" x14ac:dyDescent="0.25">
      <c r="I10" s="17"/>
      <c r="J10" s="17"/>
      <c r="K10" s="17"/>
      <c r="L10" s="17"/>
      <c r="M10" s="32"/>
      <c r="N10" s="31"/>
      <c r="O10" s="17"/>
      <c r="P10" s="17"/>
      <c r="Q10" s="17"/>
      <c r="R10" s="17"/>
      <c r="S10" s="17"/>
      <c r="T10" s="17"/>
      <c r="V10" s="17"/>
      <c r="W10" s="17"/>
      <c r="X10" s="17"/>
      <c r="Y10" s="17"/>
      <c r="Z10" s="17"/>
      <c r="AA10" s="31"/>
      <c r="AB10" s="17"/>
      <c r="AC10" s="17"/>
      <c r="AD10" s="17"/>
      <c r="AE10" s="17"/>
    </row>
    <row r="11" spans="1:31" hidden="1" outlineLevel="1" x14ac:dyDescent="0.25">
      <c r="I11" s="17"/>
      <c r="J11" s="17"/>
      <c r="K11" s="17"/>
      <c r="L11" s="17"/>
      <c r="M11" s="32"/>
      <c r="N11" s="31"/>
      <c r="O11" s="17"/>
      <c r="P11" s="17"/>
      <c r="Q11" s="17"/>
      <c r="R11" s="17"/>
      <c r="S11" s="17"/>
      <c r="T11" s="17"/>
      <c r="V11" s="17"/>
      <c r="W11" s="17"/>
      <c r="X11" s="17"/>
      <c r="Y11" s="17"/>
      <c r="Z11" s="17"/>
      <c r="AA11" s="31"/>
      <c r="AB11" s="17"/>
      <c r="AC11" s="17"/>
      <c r="AD11" s="17"/>
      <c r="AE11" s="17"/>
    </row>
    <row r="12" spans="1:31" hidden="1" outlineLevel="1" x14ac:dyDescent="0.25">
      <c r="I12" s="17"/>
      <c r="J12" s="17"/>
      <c r="K12" s="17"/>
      <c r="L12" s="17"/>
      <c r="M12" s="32"/>
      <c r="N12" s="31"/>
      <c r="O12" s="17"/>
      <c r="P12" s="17"/>
      <c r="Q12" s="17"/>
      <c r="R12" s="17"/>
      <c r="S12" s="17"/>
      <c r="T12" s="17"/>
      <c r="V12" s="17"/>
      <c r="W12" s="17"/>
      <c r="X12" s="17"/>
      <c r="Y12" s="17"/>
      <c r="Z12" s="17"/>
      <c r="AA12" s="31"/>
      <c r="AB12" s="17"/>
      <c r="AC12" s="17"/>
      <c r="AD12" s="17"/>
      <c r="AE12" s="17"/>
    </row>
    <row r="13" spans="1:31" hidden="1" outlineLevel="1" x14ac:dyDescent="0.25">
      <c r="I13" s="17"/>
      <c r="J13" s="17"/>
      <c r="K13" s="17"/>
      <c r="L13" s="17"/>
      <c r="M13" s="32"/>
      <c r="N13" s="31"/>
      <c r="O13" s="17"/>
      <c r="P13" s="17"/>
      <c r="Q13" s="17"/>
      <c r="R13" s="17"/>
      <c r="S13" s="17"/>
      <c r="T13" s="17"/>
      <c r="V13" s="17"/>
      <c r="W13" s="17"/>
      <c r="X13" s="17"/>
      <c r="Y13" s="17"/>
      <c r="Z13" s="17"/>
      <c r="AA13" s="31"/>
      <c r="AB13" s="17"/>
      <c r="AC13" s="17"/>
      <c r="AD13" s="17"/>
      <c r="AE13" s="17"/>
    </row>
    <row r="14" spans="1:31" hidden="1" outlineLevel="1" x14ac:dyDescent="0.25">
      <c r="I14" s="17"/>
      <c r="J14" s="17"/>
      <c r="K14" s="17"/>
      <c r="L14" s="17"/>
      <c r="M14" s="32"/>
      <c r="N14" s="31"/>
      <c r="O14" s="17"/>
      <c r="P14" s="17"/>
      <c r="Q14" s="17"/>
      <c r="R14" s="17"/>
      <c r="S14" s="17"/>
      <c r="T14" s="17"/>
      <c r="V14" s="17"/>
      <c r="W14" s="17"/>
      <c r="X14" s="17"/>
      <c r="Y14" s="17"/>
      <c r="Z14" s="17"/>
      <c r="AA14" s="31"/>
      <c r="AB14" s="17"/>
      <c r="AC14" s="17"/>
      <c r="AD14" s="17"/>
      <c r="AE14" s="17"/>
    </row>
    <row r="15" spans="1:31" hidden="1" outlineLevel="1" x14ac:dyDescent="0.25">
      <c r="I15" s="17"/>
      <c r="J15" s="17"/>
      <c r="K15" s="17"/>
      <c r="L15" s="17"/>
      <c r="M15" s="32"/>
      <c r="N15" s="31"/>
      <c r="O15" s="17"/>
      <c r="P15" s="17"/>
      <c r="Q15" s="17"/>
      <c r="R15" s="17"/>
      <c r="S15" s="17"/>
      <c r="T15" s="17"/>
      <c r="V15" s="17"/>
      <c r="W15" s="17"/>
      <c r="X15" s="17"/>
      <c r="Y15" s="17"/>
      <c r="Z15" s="17"/>
      <c r="AA15" s="31"/>
      <c r="AB15" s="17"/>
      <c r="AC15" s="17"/>
      <c r="AD15" s="17"/>
      <c r="AE15" s="17"/>
    </row>
    <row r="16" spans="1:31" hidden="1" outlineLevel="1" x14ac:dyDescent="0.25">
      <c r="I16" s="17"/>
      <c r="J16" s="17"/>
      <c r="K16" s="17"/>
      <c r="L16" s="17"/>
      <c r="M16" s="32"/>
      <c r="N16" s="31"/>
      <c r="O16" s="17"/>
      <c r="P16" s="17"/>
      <c r="Q16" s="17"/>
      <c r="R16" s="17"/>
      <c r="S16" s="17"/>
      <c r="T16" s="17"/>
      <c r="V16" s="17"/>
      <c r="W16" s="17"/>
      <c r="X16" s="17"/>
      <c r="Y16" s="17"/>
      <c r="Z16" s="17"/>
      <c r="AA16" s="31"/>
      <c r="AB16" s="17"/>
      <c r="AC16" s="17"/>
      <c r="AD16" s="17"/>
      <c r="AE16" s="17"/>
    </row>
    <row r="17" spans="2:31" hidden="1" outlineLevel="1" x14ac:dyDescent="0.25">
      <c r="I17" s="17"/>
      <c r="J17" s="17"/>
      <c r="K17" s="17"/>
      <c r="L17" s="17"/>
      <c r="M17" s="32"/>
      <c r="N17" s="31"/>
      <c r="O17" s="17"/>
      <c r="P17" s="17"/>
      <c r="Q17" s="17"/>
      <c r="R17" s="17"/>
      <c r="S17" s="17"/>
      <c r="T17" s="17"/>
      <c r="V17" s="17"/>
      <c r="W17" s="17"/>
      <c r="X17" s="17"/>
      <c r="Y17" s="17"/>
      <c r="Z17" s="17"/>
      <c r="AA17" s="31"/>
      <c r="AB17" s="17"/>
      <c r="AC17" s="17"/>
      <c r="AD17" s="17"/>
      <c r="AE17" s="17"/>
    </row>
    <row r="18" spans="2:31" hidden="1" outlineLevel="1" x14ac:dyDescent="0.25">
      <c r="I18" s="17"/>
      <c r="J18" s="17"/>
      <c r="K18" s="17"/>
      <c r="L18" s="17"/>
      <c r="M18" s="32"/>
      <c r="N18" s="31"/>
      <c r="O18" s="17"/>
      <c r="P18" s="17"/>
      <c r="Q18" s="17"/>
      <c r="R18" s="17"/>
      <c r="S18" s="17"/>
      <c r="T18" s="17"/>
      <c r="V18" s="17"/>
      <c r="W18" s="17"/>
      <c r="X18" s="17"/>
      <c r="Y18" s="17"/>
      <c r="Z18" s="17"/>
      <c r="AA18" s="31"/>
      <c r="AB18" s="17"/>
      <c r="AC18" s="17"/>
      <c r="AD18" s="17"/>
      <c r="AE18" s="17"/>
    </row>
    <row r="19" spans="2:31" collapsed="1" x14ac:dyDescent="0.25">
      <c r="N19" s="4"/>
      <c r="AA19" s="4"/>
    </row>
    <row r="20" spans="2:31" x14ac:dyDescent="0.25">
      <c r="B20" s="1" t="s">
        <v>71</v>
      </c>
      <c r="I20" s="140">
        <v>200</v>
      </c>
      <c r="J20" s="140">
        <f t="shared" ref="J20:R20" si="6">I23</f>
        <v>200</v>
      </c>
      <c r="K20" s="140">
        <f t="shared" si="6"/>
        <v>280</v>
      </c>
      <c r="L20" s="140">
        <f t="shared" si="6"/>
        <v>280</v>
      </c>
      <c r="M20" s="140">
        <f t="shared" si="6"/>
        <v>330</v>
      </c>
      <c r="N20" s="15">
        <f t="shared" si="6"/>
        <v>356</v>
      </c>
      <c r="O20" s="6">
        <f t="shared" si="6"/>
        <v>398</v>
      </c>
      <c r="P20" s="6">
        <f t="shared" si="6"/>
        <v>413</v>
      </c>
      <c r="Q20" s="6">
        <f t="shared" si="6"/>
        <v>437</v>
      </c>
      <c r="R20" s="6">
        <f t="shared" si="6"/>
        <v>440</v>
      </c>
      <c r="AA20" s="4"/>
    </row>
    <row r="21" spans="2:31" x14ac:dyDescent="0.25">
      <c r="B21" s="1" t="s">
        <v>15</v>
      </c>
      <c r="I21" s="140">
        <v>30</v>
      </c>
      <c r="J21" s="140">
        <v>80</v>
      </c>
      <c r="K21" s="140">
        <v>10</v>
      </c>
      <c r="L21" s="140">
        <v>75</v>
      </c>
      <c r="M21" s="140">
        <v>40</v>
      </c>
      <c r="N21" s="20">
        <v>60</v>
      </c>
      <c r="O21" s="25">
        <v>35</v>
      </c>
      <c r="P21" s="25">
        <v>45</v>
      </c>
      <c r="Q21" s="25">
        <v>25</v>
      </c>
      <c r="R21" s="25">
        <v>45</v>
      </c>
      <c r="AA21" s="4"/>
    </row>
    <row r="22" spans="2:31" x14ac:dyDescent="0.25">
      <c r="B22" s="1" t="s">
        <v>16</v>
      </c>
      <c r="I22" s="26">
        <v>-30</v>
      </c>
      <c r="J22" s="26">
        <v>0</v>
      </c>
      <c r="K22" s="26">
        <v>-10</v>
      </c>
      <c r="L22" s="26">
        <v>-25</v>
      </c>
      <c r="M22" s="26">
        <v>-14</v>
      </c>
      <c r="N22" s="143">
        <f>ROUND(N20*-AA22,0)</f>
        <v>-18</v>
      </c>
      <c r="O22" s="144">
        <f>ROUND(O20*-AB22,0)</f>
        <v>-20</v>
      </c>
      <c r="P22" s="144">
        <f>ROUND(P20*-AC22,0)</f>
        <v>-21</v>
      </c>
      <c r="Q22" s="144">
        <f>ROUND(Q20*-AD22,0)</f>
        <v>-22</v>
      </c>
      <c r="R22" s="144">
        <f>ROUND(R20*-AE22,0)</f>
        <v>-22</v>
      </c>
      <c r="U22" s="1" t="s">
        <v>18</v>
      </c>
      <c r="V22" s="148">
        <f>IFERROR(-I22/I20,"N/A")</f>
        <v>0.15</v>
      </c>
      <c r="W22" s="148">
        <f>IFERROR(-J22/J20,"N/A")</f>
        <v>0</v>
      </c>
      <c r="X22" s="148">
        <f>IFERROR(-K22/K20,"N/A")</f>
        <v>3.5714285714285712E-2</v>
      </c>
      <c r="Y22" s="148">
        <f>IFERROR(-L22/L20,"N/A")</f>
        <v>8.9285714285714288E-2</v>
      </c>
      <c r="Z22" s="148">
        <f>IFERROR(-M22/M20,"N/A")</f>
        <v>4.2424242424242427E-2</v>
      </c>
      <c r="AA22" s="147">
        <v>0.05</v>
      </c>
      <c r="AB22" s="145">
        <v>0.05</v>
      </c>
      <c r="AC22" s="145">
        <v>0.05</v>
      </c>
      <c r="AD22" s="145">
        <v>0.05</v>
      </c>
      <c r="AE22" s="145">
        <v>0.05</v>
      </c>
    </row>
    <row r="23" spans="2:31" x14ac:dyDescent="0.25">
      <c r="B23" s="1" t="s">
        <v>72</v>
      </c>
      <c r="I23" s="151">
        <f t="shared" ref="I23:R23" si="7">SUM(I20:I22)</f>
        <v>200</v>
      </c>
      <c r="J23" s="151">
        <f t="shared" si="7"/>
        <v>280</v>
      </c>
      <c r="K23" s="151">
        <f t="shared" si="7"/>
        <v>280</v>
      </c>
      <c r="L23" s="151">
        <f t="shared" si="7"/>
        <v>330</v>
      </c>
      <c r="M23" s="151">
        <f t="shared" si="7"/>
        <v>356</v>
      </c>
      <c r="N23" s="152">
        <f t="shared" si="7"/>
        <v>398</v>
      </c>
      <c r="O23" s="151">
        <f t="shared" si="7"/>
        <v>413</v>
      </c>
      <c r="P23" s="151">
        <f t="shared" si="7"/>
        <v>437</v>
      </c>
      <c r="Q23" s="151">
        <f t="shared" si="7"/>
        <v>440</v>
      </c>
      <c r="R23" s="151">
        <f t="shared" si="7"/>
        <v>463</v>
      </c>
    </row>
    <row r="24" spans="2:31" x14ac:dyDescent="0.25">
      <c r="I24" s="5"/>
      <c r="J24" s="5"/>
      <c r="K24" s="5"/>
      <c r="L24" s="5"/>
      <c r="M24" s="5"/>
      <c r="N24" s="4"/>
      <c r="O24" s="5"/>
      <c r="P24" s="5"/>
      <c r="Q24" s="5"/>
      <c r="R24" s="5"/>
    </row>
    <row r="25" spans="2:31" x14ac:dyDescent="0.25">
      <c r="B25" s="1" t="s">
        <v>70</v>
      </c>
      <c r="I25" s="141">
        <f t="shared" ref="I25:R25" si="8">AVERAGE(I20,I23)</f>
        <v>200</v>
      </c>
      <c r="J25" s="141">
        <f t="shared" si="8"/>
        <v>240</v>
      </c>
      <c r="K25" s="141">
        <f t="shared" si="8"/>
        <v>280</v>
      </c>
      <c r="L25" s="141">
        <f t="shared" si="8"/>
        <v>305</v>
      </c>
      <c r="M25" s="142">
        <f t="shared" si="8"/>
        <v>343</v>
      </c>
      <c r="N25" s="141">
        <f t="shared" si="8"/>
        <v>377</v>
      </c>
      <c r="O25" s="141">
        <f t="shared" si="8"/>
        <v>405.5</v>
      </c>
      <c r="P25" s="141">
        <f t="shared" si="8"/>
        <v>425</v>
      </c>
      <c r="Q25" s="141">
        <f t="shared" si="8"/>
        <v>438.5</v>
      </c>
      <c r="R25" s="141">
        <f t="shared" si="8"/>
        <v>451.5</v>
      </c>
      <c r="S25" s="17"/>
      <c r="T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1" x14ac:dyDescent="0.25">
      <c r="B26" s="1" t="s">
        <v>17</v>
      </c>
      <c r="I26" s="29">
        <v>5</v>
      </c>
      <c r="J26" s="29">
        <f>I26</f>
        <v>5</v>
      </c>
      <c r="K26" s="29">
        <f>J26</f>
        <v>5</v>
      </c>
      <c r="L26" s="29">
        <v>5.25</v>
      </c>
      <c r="M26" s="29">
        <v>5.25</v>
      </c>
      <c r="N26" s="28">
        <v>5.25</v>
      </c>
      <c r="O26" s="29">
        <v>5.25</v>
      </c>
      <c r="P26" s="29">
        <v>5.25</v>
      </c>
      <c r="Q26" s="29">
        <v>5.25</v>
      </c>
      <c r="R26" s="29">
        <v>5.25</v>
      </c>
    </row>
    <row r="27" spans="2:31" x14ac:dyDescent="0.25">
      <c r="N27" s="4"/>
      <c r="O27" s="5"/>
      <c r="P27" s="5"/>
      <c r="Q27" s="5"/>
      <c r="R27" s="5"/>
    </row>
    <row r="28" spans="2:31" s="11" customFormat="1" x14ac:dyDescent="0.25">
      <c r="B28" s="11" t="s">
        <v>19</v>
      </c>
      <c r="I28" s="51">
        <f t="shared" ref="I28:R28" si="9">I25*I26</f>
        <v>1000</v>
      </c>
      <c r="J28" s="51">
        <f t="shared" si="9"/>
        <v>1200</v>
      </c>
      <c r="K28" s="51">
        <f t="shared" si="9"/>
        <v>1400</v>
      </c>
      <c r="L28" s="51">
        <f t="shared" si="9"/>
        <v>1601.25</v>
      </c>
      <c r="M28" s="51">
        <f t="shared" si="9"/>
        <v>1800.75</v>
      </c>
      <c r="N28" s="50">
        <f t="shared" si="9"/>
        <v>1979.25</v>
      </c>
      <c r="O28" s="51">
        <f t="shared" si="9"/>
        <v>2128.875</v>
      </c>
      <c r="P28" s="51">
        <f t="shared" si="9"/>
        <v>2231.25</v>
      </c>
      <c r="Q28" s="51">
        <f t="shared" si="9"/>
        <v>2302.125</v>
      </c>
      <c r="R28" s="51">
        <f t="shared" si="9"/>
        <v>2370.375</v>
      </c>
    </row>
    <row r="29" spans="2:31" s="7" customFormat="1" x14ac:dyDescent="0.25">
      <c r="B29" s="7" t="s">
        <v>4</v>
      </c>
      <c r="I29" s="8" t="s">
        <v>3</v>
      </c>
      <c r="J29" s="9">
        <f>J28/I28-1</f>
        <v>0.19999999999999996</v>
      </c>
      <c r="K29" s="9">
        <f>K28/J28-1</f>
        <v>0.16666666666666674</v>
      </c>
      <c r="L29" s="9">
        <f>L28/K28-1</f>
        <v>0.14375000000000004</v>
      </c>
      <c r="M29" s="9">
        <f>M28/L28-1</f>
        <v>0.12459016393442623</v>
      </c>
      <c r="N29" s="19">
        <f t="shared" ref="N29:R29" si="10">N28/M28-1</f>
        <v>9.9125364431486895E-2</v>
      </c>
      <c r="O29" s="9">
        <f t="shared" si="10"/>
        <v>7.5596816976127412E-2</v>
      </c>
      <c r="P29" s="9">
        <f t="shared" si="10"/>
        <v>4.8088779284833461E-2</v>
      </c>
      <c r="Q29" s="9">
        <f t="shared" si="10"/>
        <v>3.1764705882352917E-2</v>
      </c>
      <c r="R29" s="9">
        <f t="shared" si="10"/>
        <v>2.9646522234891615E-2</v>
      </c>
    </row>
    <row r="31" spans="2:31" x14ac:dyDescent="0.25">
      <c r="I31" s="6"/>
      <c r="J31" s="6"/>
      <c r="K31" s="6"/>
      <c r="L31" s="6"/>
      <c r="M31" s="6"/>
      <c r="N31" s="6"/>
      <c r="O31" s="6"/>
      <c r="P31" s="6"/>
      <c r="Q31" s="6"/>
      <c r="R31" s="6"/>
    </row>
    <row r="33" spans="9:18" x14ac:dyDescent="0.25">
      <c r="I33" s="6"/>
      <c r="J33" s="6"/>
      <c r="K33" s="6"/>
      <c r="L33" s="6"/>
      <c r="M33" s="6"/>
      <c r="N33" s="6"/>
      <c r="O33" s="6"/>
      <c r="P33" s="6"/>
      <c r="Q33" s="6"/>
      <c r="R33" s="6"/>
    </row>
  </sheetData>
  <pageMargins left="0.7" right="0.7" top="0.75" bottom="0.75" header="0.3" footer="0.3"/>
  <pageSetup scale="85" orientation="landscape" horizontalDpi="1200" verticalDpi="1200" r:id="rId1"/>
  <colBreaks count="1" manualBreakCount="1">
    <brk id="19" max="3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EBA8-578E-4029-B4FD-A63FACF24DEA}">
  <sheetPr>
    <tabColor theme="8" tint="0.59999389629810485"/>
  </sheetPr>
  <dimension ref="A1"/>
  <sheetViews>
    <sheetView workbookViewId="0">
      <selection activeCell="H8" sqref="H8"/>
    </sheetView>
  </sheetViews>
  <sheetFormatPr defaultRowHeight="15" x14ac:dyDescent="0.25"/>
  <cols>
    <col min="1" max="16384" width="9.140625" style="126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CF79-DBB4-4639-8C5B-AFE4F57F6763}">
  <sheetPr>
    <tabColor theme="8" tint="0.59999389629810485"/>
  </sheetPr>
  <dimension ref="A1:R32"/>
  <sheetViews>
    <sheetView zoomScaleNormal="100" zoomScaleSheetLayoutView="130" workbookViewId="0">
      <selection activeCell="B4" sqref="B4"/>
    </sheetView>
  </sheetViews>
  <sheetFormatPr defaultRowHeight="15" outlineLevelRow="1" x14ac:dyDescent="0.25"/>
  <cols>
    <col min="1" max="1" width="2.85546875" style="1" customWidth="1"/>
    <col min="2" max="2" width="24.28515625" style="1" customWidth="1"/>
    <col min="3" max="8" width="2.7109375" style="1" customWidth="1"/>
    <col min="9" max="12" width="9.7109375" style="1" bestFit="1" customWidth="1"/>
    <col min="13" max="13" width="9.140625" style="1" customWidth="1"/>
    <col min="14" max="15" width="9.5703125" style="1" bestFit="1" customWidth="1"/>
    <col min="16" max="18" width="9.7109375" style="1" bestFit="1" customWidth="1"/>
    <col min="19" max="20" width="2.85546875" style="1" customWidth="1"/>
    <col min="21" max="16384" width="9.140625" style="1"/>
  </cols>
  <sheetData>
    <row r="1" spans="1:18" x14ac:dyDescent="0.25">
      <c r="A1" s="11" t="s">
        <v>74</v>
      </c>
      <c r="B1" s="11"/>
      <c r="C1" s="11"/>
      <c r="D1" s="11"/>
      <c r="E1" s="11"/>
      <c r="F1" s="11"/>
      <c r="G1" s="11"/>
      <c r="H1" s="11"/>
    </row>
    <row r="4" spans="1:18" x14ac:dyDescent="0.25">
      <c r="B4" s="11"/>
    </row>
    <row r="5" spans="1:18" x14ac:dyDescent="0.25">
      <c r="B5" s="11"/>
      <c r="I5" s="120" t="s">
        <v>1</v>
      </c>
      <c r="J5" s="120"/>
      <c r="K5" s="120"/>
      <c r="L5" s="120"/>
      <c r="M5" s="120"/>
      <c r="N5" s="120" t="s">
        <v>2</v>
      </c>
      <c r="O5" s="120"/>
      <c r="P5" s="120"/>
      <c r="Q5" s="120"/>
      <c r="R5" s="120"/>
    </row>
    <row r="6" spans="1:18" x14ac:dyDescent="0.25">
      <c r="I6" s="121" t="str">
        <f>'Income Statement'!I6</f>
        <v>12/31</v>
      </c>
      <c r="J6" s="121" t="str">
        <f>'Income Statement'!J6</f>
        <v>12/31</v>
      </c>
      <c r="K6" s="121" t="str">
        <f>'Income Statement'!K6</f>
        <v>12/31</v>
      </c>
      <c r="L6" s="121" t="str">
        <f>'Income Statement'!L6</f>
        <v>12/31</v>
      </c>
      <c r="M6" s="124" t="str">
        <f>'Income Statement'!M6</f>
        <v>12/31</v>
      </c>
      <c r="N6" s="121" t="str">
        <f>'Income Statement'!N6</f>
        <v>12/31</v>
      </c>
      <c r="O6" s="121" t="str">
        <f>'Income Statement'!O6</f>
        <v>12/31</v>
      </c>
      <c r="P6" s="121" t="str">
        <f>'Income Statement'!P6</f>
        <v>12/31</v>
      </c>
      <c r="Q6" s="121" t="str">
        <f>'Income Statement'!Q6</f>
        <v>12/31</v>
      </c>
      <c r="R6" s="121" t="str">
        <f>'Income Statement'!R6</f>
        <v>12/31</v>
      </c>
    </row>
    <row r="7" spans="1:18" x14ac:dyDescent="0.25">
      <c r="I7" s="78">
        <f>'Income Statement'!I7</f>
        <v>2016</v>
      </c>
      <c r="J7" s="78">
        <f>'Income Statement'!J7</f>
        <v>2017</v>
      </c>
      <c r="K7" s="78">
        <f>'Income Statement'!K7</f>
        <v>2018</v>
      </c>
      <c r="L7" s="78">
        <f>'Income Statement'!L7</f>
        <v>2019</v>
      </c>
      <c r="M7" s="125">
        <f>'Income Statement'!M7</f>
        <v>2020</v>
      </c>
      <c r="N7" s="78">
        <f>'Income Statement'!N7</f>
        <v>2021</v>
      </c>
      <c r="O7" s="78">
        <f>'Income Statement'!O7</f>
        <v>2022</v>
      </c>
      <c r="P7" s="78">
        <f>'Income Statement'!P7</f>
        <v>2023</v>
      </c>
      <c r="Q7" s="78">
        <f>'Income Statement'!Q7</f>
        <v>2024</v>
      </c>
      <c r="R7" s="78">
        <f>'Income Statement'!R7</f>
        <v>2025</v>
      </c>
    </row>
    <row r="8" spans="1:18" hidden="1" outlineLevel="1" x14ac:dyDescent="0.25">
      <c r="I8" s="17"/>
      <c r="J8" s="17"/>
      <c r="K8" s="17"/>
      <c r="L8" s="17"/>
      <c r="M8" s="32"/>
      <c r="N8" s="31"/>
      <c r="O8" s="17"/>
      <c r="P8" s="17"/>
      <c r="Q8" s="17"/>
      <c r="R8" s="17"/>
    </row>
    <row r="9" spans="1:18" hidden="1" outlineLevel="1" x14ac:dyDescent="0.25">
      <c r="B9" s="1" t="s">
        <v>19</v>
      </c>
      <c r="I9" s="156">
        <f>'Income Statement'!I9</f>
        <v>1000</v>
      </c>
      <c r="J9" s="156">
        <f>'Income Statement'!J9</f>
        <v>1200</v>
      </c>
      <c r="K9" s="156">
        <f>'Income Statement'!K9</f>
        <v>1400</v>
      </c>
      <c r="L9" s="156">
        <f>'Income Statement'!L9</f>
        <v>1600</v>
      </c>
      <c r="M9" s="156">
        <f>'Income Statement'!M9</f>
        <v>1800</v>
      </c>
      <c r="N9" s="155">
        <f>'Income Statement'!N9</f>
        <v>1980.0000000000002</v>
      </c>
      <c r="O9" s="156">
        <f>'Income Statement'!O9</f>
        <v>2128.5</v>
      </c>
      <c r="P9" s="156">
        <f>'Income Statement'!P9</f>
        <v>2234.9250000000002</v>
      </c>
      <c r="Q9" s="156">
        <f>'Income Statement'!Q9</f>
        <v>2301.9727500000004</v>
      </c>
      <c r="R9" s="156">
        <f>'Income Statement'!R9</f>
        <v>2371.0319325000005</v>
      </c>
    </row>
    <row r="10" spans="1:18" hidden="1" outlineLevel="1" x14ac:dyDescent="0.25">
      <c r="N10" s="72"/>
      <c r="O10" s="73"/>
      <c r="P10" s="73"/>
      <c r="Q10" s="73"/>
      <c r="R10" s="73"/>
    </row>
    <row r="11" spans="1:18" hidden="1" outlineLevel="1" x14ac:dyDescent="0.25">
      <c r="N11" s="72"/>
      <c r="O11" s="73"/>
      <c r="P11" s="73"/>
      <c r="Q11" s="73"/>
      <c r="R11" s="73"/>
    </row>
    <row r="12" spans="1:18" hidden="1" outlineLevel="1" x14ac:dyDescent="0.25">
      <c r="N12" s="72"/>
      <c r="O12" s="73"/>
      <c r="P12" s="73"/>
      <c r="Q12" s="73"/>
      <c r="R12" s="73"/>
    </row>
    <row r="13" spans="1:18" hidden="1" outlineLevel="1" x14ac:dyDescent="0.25">
      <c r="N13" s="72"/>
      <c r="O13" s="73"/>
      <c r="P13" s="73"/>
      <c r="Q13" s="73"/>
      <c r="R13" s="73"/>
    </row>
    <row r="14" spans="1:18" hidden="1" outlineLevel="1" x14ac:dyDescent="0.25">
      <c r="N14" s="72"/>
      <c r="O14" s="73"/>
      <c r="P14" s="73"/>
      <c r="Q14" s="73"/>
      <c r="R14" s="73"/>
    </row>
    <row r="15" spans="1:18" hidden="1" outlineLevel="1" x14ac:dyDescent="0.25">
      <c r="N15" s="72"/>
      <c r="O15" s="73"/>
      <c r="P15" s="73"/>
      <c r="Q15" s="73"/>
      <c r="R15" s="73"/>
    </row>
    <row r="16" spans="1:18" hidden="1" outlineLevel="1" x14ac:dyDescent="0.25">
      <c r="N16" s="72"/>
      <c r="O16" s="73"/>
      <c r="P16" s="73"/>
      <c r="Q16" s="73"/>
      <c r="R16" s="73"/>
    </row>
    <row r="17" spans="2:18" hidden="1" outlineLevel="1" x14ac:dyDescent="0.25">
      <c r="N17" s="72"/>
      <c r="O17" s="73"/>
      <c r="P17" s="73"/>
      <c r="Q17" s="73"/>
      <c r="R17" s="73"/>
    </row>
    <row r="18" spans="2:18" hidden="1" outlineLevel="1" x14ac:dyDescent="0.25">
      <c r="N18" s="72"/>
      <c r="O18" s="73"/>
      <c r="P18" s="73"/>
      <c r="Q18" s="73"/>
      <c r="R18" s="73"/>
    </row>
    <row r="19" spans="2:18" hidden="1" outlineLevel="1" x14ac:dyDescent="0.25">
      <c r="N19" s="72"/>
      <c r="O19" s="73"/>
      <c r="P19" s="73"/>
      <c r="Q19" s="73"/>
      <c r="R19" s="73"/>
    </row>
    <row r="20" spans="2:18" hidden="1" outlineLevel="1" x14ac:dyDescent="0.25">
      <c r="N20" s="72"/>
      <c r="O20" s="73"/>
      <c r="P20" s="73"/>
      <c r="Q20" s="73"/>
      <c r="R20" s="73"/>
    </row>
    <row r="21" spans="2:18" hidden="1" outlineLevel="1" x14ac:dyDescent="0.25">
      <c r="N21" s="72"/>
      <c r="O21" s="73"/>
      <c r="P21" s="73"/>
      <c r="Q21" s="73"/>
      <c r="R21" s="73"/>
    </row>
    <row r="22" spans="2:18" hidden="1" outlineLevel="1" x14ac:dyDescent="0.25">
      <c r="N22" s="72"/>
      <c r="O22" s="73"/>
      <c r="P22" s="73"/>
      <c r="Q22" s="73"/>
      <c r="R22" s="73"/>
    </row>
    <row r="23" spans="2:18" hidden="1" outlineLevel="1" x14ac:dyDescent="0.25">
      <c r="N23" s="72"/>
      <c r="O23" s="73"/>
      <c r="P23" s="73"/>
      <c r="Q23" s="73"/>
      <c r="R23" s="73"/>
    </row>
    <row r="24" spans="2:18" hidden="1" outlineLevel="1" x14ac:dyDescent="0.25">
      <c r="N24" s="72"/>
      <c r="O24" s="73"/>
      <c r="P24" s="73"/>
      <c r="Q24" s="73"/>
      <c r="R24" s="73"/>
    </row>
    <row r="25" spans="2:18" hidden="1" outlineLevel="1" x14ac:dyDescent="0.25">
      <c r="N25" s="72"/>
      <c r="O25" s="73"/>
      <c r="P25" s="73"/>
      <c r="Q25" s="73"/>
      <c r="R25" s="73"/>
    </row>
    <row r="26" spans="2:18" hidden="1" outlineLevel="1" x14ac:dyDescent="0.25">
      <c r="N26" s="72"/>
      <c r="O26" s="73"/>
      <c r="P26" s="73"/>
      <c r="Q26" s="73"/>
      <c r="R26" s="73"/>
    </row>
    <row r="27" spans="2:18" collapsed="1" x14ac:dyDescent="0.25">
      <c r="N27" s="72"/>
      <c r="O27" s="73"/>
      <c r="P27" s="73"/>
      <c r="Q27" s="73"/>
      <c r="R27" s="73"/>
    </row>
    <row r="28" spans="2:18" x14ac:dyDescent="0.25">
      <c r="B28" s="1" t="s">
        <v>22</v>
      </c>
      <c r="I28" s="140">
        <v>500</v>
      </c>
      <c r="J28" s="140">
        <v>584.29999999999995</v>
      </c>
      <c r="K28" s="140">
        <v>687.45</v>
      </c>
      <c r="L28" s="140">
        <v>759</v>
      </c>
      <c r="M28" s="140">
        <v>863.55</v>
      </c>
      <c r="N28" s="74">
        <f>N29*N9</f>
        <v>936.54000000000008</v>
      </c>
      <c r="O28" s="75">
        <f t="shared" ref="O28:R28" si="0">O29*O9</f>
        <v>989.75250000000005</v>
      </c>
      <c r="P28" s="75">
        <f t="shared" si="0"/>
        <v>1019.1258000000001</v>
      </c>
      <c r="Q28" s="75">
        <f t="shared" si="0"/>
        <v>1042.7936557500002</v>
      </c>
      <c r="R28" s="75">
        <f t="shared" si="0"/>
        <v>1074.0774654225002</v>
      </c>
    </row>
    <row r="29" spans="2:18" s="7" customFormat="1" x14ac:dyDescent="0.25">
      <c r="B29" s="7" t="s">
        <v>32</v>
      </c>
      <c r="I29" s="33">
        <f>I28/I9</f>
        <v>0.5</v>
      </c>
      <c r="J29" s="33">
        <f t="shared" ref="J29:M29" si="1">J28/J9</f>
        <v>0.48691666666666661</v>
      </c>
      <c r="K29" s="33">
        <f t="shared" si="1"/>
        <v>0.4910357142857143</v>
      </c>
      <c r="L29" s="33">
        <f t="shared" si="1"/>
        <v>0.47437499999999999</v>
      </c>
      <c r="M29" s="33">
        <f t="shared" si="1"/>
        <v>0.47974999999999995</v>
      </c>
      <c r="N29" s="37">
        <v>0.47299999999999998</v>
      </c>
      <c r="O29" s="38">
        <v>0.46500000000000002</v>
      </c>
      <c r="P29" s="38">
        <v>0.45600000000000002</v>
      </c>
      <c r="Q29" s="38">
        <v>0.45300000000000001</v>
      </c>
      <c r="R29" s="38">
        <v>0.45300000000000001</v>
      </c>
    </row>
    <row r="30" spans="2:18" x14ac:dyDescent="0.25">
      <c r="N30" s="4"/>
    </row>
    <row r="31" spans="2:18" x14ac:dyDescent="0.25">
      <c r="B31" s="11" t="s">
        <v>20</v>
      </c>
      <c r="C31" s="11"/>
      <c r="D31" s="11"/>
      <c r="E31" s="11"/>
      <c r="F31" s="11"/>
      <c r="G31" s="11"/>
      <c r="H31" s="11"/>
      <c r="I31" s="51">
        <f>I9-I28</f>
        <v>500</v>
      </c>
      <c r="J31" s="51">
        <f t="shared" ref="J31:R31" si="2">J9-J28</f>
        <v>615.70000000000005</v>
      </c>
      <c r="K31" s="51">
        <f t="shared" si="2"/>
        <v>712.55</v>
      </c>
      <c r="L31" s="51">
        <f t="shared" si="2"/>
        <v>841</v>
      </c>
      <c r="M31" s="51">
        <f t="shared" si="2"/>
        <v>936.45</v>
      </c>
      <c r="N31" s="50">
        <f t="shared" si="2"/>
        <v>1043.46</v>
      </c>
      <c r="O31" s="51">
        <f t="shared" si="2"/>
        <v>1138.7474999999999</v>
      </c>
      <c r="P31" s="51">
        <f t="shared" si="2"/>
        <v>1215.7991999999999</v>
      </c>
      <c r="Q31" s="51">
        <f t="shared" si="2"/>
        <v>1259.1790942500002</v>
      </c>
      <c r="R31" s="51">
        <f t="shared" si="2"/>
        <v>1296.9544670775003</v>
      </c>
    </row>
    <row r="32" spans="2:18" s="7" customFormat="1" x14ac:dyDescent="0.25">
      <c r="B32" s="7" t="s">
        <v>21</v>
      </c>
      <c r="I32" s="9">
        <f>I31/I9</f>
        <v>0.5</v>
      </c>
      <c r="J32" s="9">
        <f t="shared" ref="J32:R32" si="3">J31/J9</f>
        <v>0.51308333333333334</v>
      </c>
      <c r="K32" s="9">
        <f t="shared" si="3"/>
        <v>0.50896428571428565</v>
      </c>
      <c r="L32" s="9">
        <f t="shared" si="3"/>
        <v>0.52562500000000001</v>
      </c>
      <c r="M32" s="9">
        <f t="shared" si="3"/>
        <v>0.52024999999999999</v>
      </c>
      <c r="N32" s="19">
        <f t="shared" si="3"/>
        <v>0.52699999999999991</v>
      </c>
      <c r="O32" s="9">
        <f t="shared" si="3"/>
        <v>0.53499999999999992</v>
      </c>
      <c r="P32" s="9">
        <f t="shared" si="3"/>
        <v>0.54399999999999993</v>
      </c>
      <c r="Q32" s="9">
        <f t="shared" si="3"/>
        <v>0.54699999999999993</v>
      </c>
      <c r="R32" s="9">
        <f t="shared" si="3"/>
        <v>0.54700000000000004</v>
      </c>
    </row>
  </sheetData>
  <pageMargins left="0.7" right="0.7" top="0.75" bottom="0.75" header="0.3" footer="0.3"/>
  <pageSetup scale="8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04305B8CC3A6458A4738935F93DCB0" ma:contentTypeVersion="9" ma:contentTypeDescription="Create a new document." ma:contentTypeScope="" ma:versionID="00d68a9e48f6f5a0c53f41796b155b3d">
  <xsd:schema xmlns:xsd="http://www.w3.org/2001/XMLSchema" xmlns:xs="http://www.w3.org/2001/XMLSchema" xmlns:p="http://schemas.microsoft.com/office/2006/metadata/properties" xmlns:ns2="47d69c94-c461-4812-90d3-18c711097b31" targetNamespace="http://schemas.microsoft.com/office/2006/metadata/properties" ma:root="true" ma:fieldsID="eb558401baf443958f3f0c52aecbf05e" ns2:_="">
    <xsd:import namespace="47d69c94-c461-4812-90d3-18c711097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69c94-c461-4812-90d3-18c711097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B5F1B9-6573-4353-9F7F-AAF797BA3B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7F9044-8A6D-4EED-8415-27DD0D87C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69c94-c461-4812-90d3-18c711097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D80684-95E9-4F91-9C68-9BA854EAFC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15</vt:i4>
      </vt:variant>
    </vt:vector>
  </HeadingPairs>
  <TitlesOfParts>
    <vt:vector size="44" baseType="lpstr">
      <vt:lpstr>Assumptions</vt:lpstr>
      <vt:lpstr>Income Statement</vt:lpstr>
      <vt:lpstr>Revenue Models</vt:lpstr>
      <vt:lpstr>Rev. Simplistic</vt:lpstr>
      <vt:lpstr>Rev. Volume x Price</vt:lpstr>
      <vt:lpstr>Rev. Retail</vt:lpstr>
      <vt:lpstr>Rev. Subscription Model</vt:lpstr>
      <vt:lpstr>Cost of Rev. Models</vt:lpstr>
      <vt:lpstr>Cost of Rev. Simplistic</vt:lpstr>
      <vt:lpstr>Cost of Rev Vol. x Price</vt:lpstr>
      <vt:lpstr>Operating Expenses</vt:lpstr>
      <vt:lpstr>Opex Simplistic Growth</vt:lpstr>
      <vt:lpstr>Opex Simplistic % of Revenue</vt:lpstr>
      <vt:lpstr>Opex Fixed vs. Variable</vt:lpstr>
      <vt:lpstr>Other Items</vt:lpstr>
      <vt:lpstr>Interest Expense</vt:lpstr>
      <vt:lpstr>Depreciation</vt:lpstr>
      <vt:lpstr>Income Tax Rate</vt:lpstr>
      <vt:lpstr>Balance Sheet Items</vt:lpstr>
      <vt:lpstr>Capital Expenditures</vt:lpstr>
      <vt:lpstr>Working Capital (Simplified)</vt:lpstr>
      <vt:lpstr>Working Capital (Driver Based)</vt:lpstr>
      <vt:lpstr>Cash</vt:lpstr>
      <vt:lpstr>Accounts Receivable</vt:lpstr>
      <vt:lpstr>Inventory</vt:lpstr>
      <vt:lpstr>Other Current Assets</vt:lpstr>
      <vt:lpstr>Accounts Payable</vt:lpstr>
      <vt:lpstr>Other Current Liabilities</vt:lpstr>
      <vt:lpstr>Debt</vt:lpstr>
      <vt:lpstr>LFY</vt:lpstr>
      <vt:lpstr>LTM</vt:lpstr>
      <vt:lpstr>NFY</vt:lpstr>
      <vt:lpstr>'Cost of Rev Vol. x Price'!Print_Area</vt:lpstr>
      <vt:lpstr>'Cost of Rev. Simplistic'!Print_Area</vt:lpstr>
      <vt:lpstr>Debt!Print_Area</vt:lpstr>
      <vt:lpstr>'Income Tax Rate'!Print_Area</vt:lpstr>
      <vt:lpstr>'Interest Expense'!Print_Area</vt:lpstr>
      <vt:lpstr>'Opex Fixed vs. Variable'!Print_Area</vt:lpstr>
      <vt:lpstr>'Opex Simplistic % of Revenue'!Print_Area</vt:lpstr>
      <vt:lpstr>'Opex Simplistic Growth'!Print_Area</vt:lpstr>
      <vt:lpstr>'Rev. Retail'!Print_Area</vt:lpstr>
      <vt:lpstr>'Rev. Simplistic'!Print_Area</vt:lpstr>
      <vt:lpstr>'Rev. Subscription Model'!Print_Area</vt:lpstr>
      <vt:lpstr>'Rev. Volume x Price'!Print_Area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</dc:creator>
  <cp:lastModifiedBy>Koji Bratcher</cp:lastModifiedBy>
  <dcterms:created xsi:type="dcterms:W3CDTF">2021-03-24T06:41:37Z</dcterms:created>
  <dcterms:modified xsi:type="dcterms:W3CDTF">2021-09-27T07:54:00Z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0x0101008204305B8CC3A6458A4738935F93DCB0</vt:lpwstr>
  </property>
</Properties>
</file>